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60" yWindow="65521" windowWidth="9420" windowHeight="11760" activeTab="0"/>
  </bookViews>
  <sheets>
    <sheet name="Vorlage" sheetId="1" r:id="rId1"/>
    <sheet name="Feiertage" sheetId="2" r:id="rId2"/>
  </sheets>
  <definedNames>
    <definedName name="akt_Jahr" localSheetId="0">'Vorlage'!$B$39</definedName>
    <definedName name="akt_Jahr">'Vorlage'!$B$39</definedName>
    <definedName name="ArbeitsTage" localSheetId="0">'Vorlage'!$R$20</definedName>
    <definedName name="Arbeitszeit" localSheetId="0">'Vorlage'!$Q$6:$S$12</definedName>
    <definedName name="_xlnm.Print_Area" localSheetId="0">'Vorlage'!$A$1:$N$42</definedName>
    <definedName name="Feiertage">'Feiertage'!$B$2:$B$33</definedName>
    <definedName name="Freitag" localSheetId="0">'Vorlage'!$R$10</definedName>
    <definedName name="Minuszeit" localSheetId="0">'Vorlage'!$G$41</definedName>
    <definedName name="MonatsPensum" localSheetId="0">'Vorlage'!$R$21</definedName>
    <definedName name="Pensum" localSheetId="0">'Vorlage'!$R$16</definedName>
    <definedName name="Pensum">#REF!</definedName>
    <definedName name="Start" localSheetId="0">'Vorlage'!$B$7</definedName>
    <definedName name="Tag">#REF!</definedName>
    <definedName name="TagesPensum" localSheetId="0">'Vorlage'!$R$19</definedName>
    <definedName name="Ueberzeit" localSheetId="0">'Vorlage'!$G$40</definedName>
    <definedName name="WochenPensum" localSheetId="0">'Vorlage'!$R$18</definedName>
    <definedName name="WochenSoll" localSheetId="0">'Vorlage'!$R$15</definedName>
  </definedNames>
  <calcPr fullCalcOnLoad="1"/>
</workbook>
</file>

<file path=xl/comments1.xml><?xml version="1.0" encoding="utf-8"?>
<comments xmlns="http://schemas.openxmlformats.org/spreadsheetml/2006/main">
  <authors>
    <author>Thomas Ramel</author>
    <author>Sejla</author>
  </authors>
  <commentList>
    <comment ref="E7" authorId="0">
      <text>
        <r>
          <rPr>
            <sz val="12"/>
            <rFont val="Tahoma"/>
            <family val="2"/>
          </rPr>
          <t xml:space="preserve">Hier die Beginn- und Endzeiten eingeben
</t>
        </r>
        <r>
          <rPr>
            <b/>
            <sz val="12"/>
            <color indexed="10"/>
            <rFont val="Tahoma"/>
            <family val="2"/>
          </rPr>
          <t>U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für Urlaub (Soll-Stunden werden dann '0')
</t>
        </r>
        <r>
          <rPr>
            <b/>
            <sz val="12"/>
            <color indexed="10"/>
            <rFont val="Tahoma"/>
            <family val="2"/>
          </rPr>
          <t>K</t>
        </r>
        <r>
          <rPr>
            <sz val="12"/>
            <rFont val="Tahoma"/>
            <family val="2"/>
          </rPr>
          <t xml:space="preserve"> für Krank (Soll-Stunden werden gutgeschrieben)</t>
        </r>
      </text>
    </comment>
    <comment ref="G41" authorId="0">
      <text>
        <r>
          <rPr>
            <sz val="12"/>
            <rFont val="Tahoma"/>
            <family val="2"/>
          </rPr>
          <t>Hier die Minuszeit des Vormonats eintragen.</t>
        </r>
      </text>
    </comment>
    <comment ref="R6" authorId="0">
      <text>
        <r>
          <rPr>
            <sz val="12"/>
            <rFont val="Tahoma"/>
            <family val="2"/>
          </rPr>
          <t>Hier die Sollzeit pro Wochentag festlegen.</t>
        </r>
      </text>
    </comment>
    <comment ref="S6" authorId="0">
      <text>
        <r>
          <rPr>
            <sz val="12"/>
            <rFont val="Tahoma"/>
            <family val="2"/>
          </rPr>
          <t>Hier die Pausenzeit pro Wochentag festlegen.</t>
        </r>
      </text>
    </comment>
    <comment ref="R25" authorId="0">
      <text>
        <r>
          <rPr>
            <sz val="11"/>
            <rFont val="Tahoma"/>
            <family val="2"/>
          </rPr>
          <t>Guthaben an Urlaubstagen erfassen
und manuell auf den nächsten Monat übertragen.</t>
        </r>
      </text>
    </comment>
    <comment ref="B7" authorId="1">
      <text>
        <r>
          <rPr>
            <sz val="9"/>
            <rFont val="Segoe UI"/>
            <family val="0"/>
          </rPr>
          <t>Hier Datum ändern.
Beispiel:
01.02.2016 für Februar</t>
        </r>
      </text>
    </comment>
  </commentList>
</comments>
</file>

<file path=xl/comments2.xml><?xml version="1.0" encoding="utf-8"?>
<comments xmlns="http://schemas.openxmlformats.org/spreadsheetml/2006/main">
  <authors>
    <author>Thomas Ramel</author>
  </authors>
  <commentList>
    <comment ref="C1" authorId="0">
      <text>
        <r>
          <rPr>
            <sz val="8"/>
            <rFont val="Tahoma"/>
            <family val="2"/>
          </rPr>
          <t>Ein 'x' einfügen, wenn der Feiertag begangen wird.
Neue Zeilen einfügen für zusätzliche Feiertage.</t>
        </r>
      </text>
    </comment>
    <comment ref="B1" authorId="0">
      <text>
        <r>
          <rPr>
            <sz val="8"/>
            <rFont val="Tahoma"/>
            <family val="2"/>
          </rPr>
          <t>Das Jahr hier anpassen.</t>
        </r>
      </text>
    </comment>
    <comment ref="B2" authorId="0">
      <text>
        <r>
          <rPr>
            <sz val="8"/>
            <rFont val="Tahoma"/>
            <family val="2"/>
          </rPr>
          <t>Der grüne Bereich trägt den Namen 'Feiertage'. Auf diesen kann in Formeln mit SVERWEIS() oder in NNETTOARBEITSTAGE() und ähnlichen verwiesen werden.</t>
        </r>
      </text>
    </comment>
  </commentList>
</comments>
</file>

<file path=xl/sharedStrings.xml><?xml version="1.0" encoding="utf-8"?>
<sst xmlns="http://schemas.openxmlformats.org/spreadsheetml/2006/main" count="101" uniqueCount="78">
  <si>
    <t>Arbeitszeiten</t>
  </si>
  <si>
    <t>Datum</t>
  </si>
  <si>
    <t>Wochentag</t>
  </si>
  <si>
    <t>Morgen</t>
  </si>
  <si>
    <t>Nachmittag</t>
  </si>
  <si>
    <t>Total</t>
  </si>
  <si>
    <t>Soll-</t>
  </si>
  <si>
    <t>Über-</t>
  </si>
  <si>
    <t>Minus-</t>
  </si>
  <si>
    <t>ein</t>
  </si>
  <si>
    <t>aus</t>
  </si>
  <si>
    <t>zeit</t>
  </si>
  <si>
    <t>Überzeit</t>
  </si>
  <si>
    <t>Minuszeit</t>
  </si>
  <si>
    <t>Sollzeit</t>
  </si>
  <si>
    <t>Pause</t>
  </si>
  <si>
    <t>Montag</t>
  </si>
  <si>
    <t>Dienstag</t>
  </si>
  <si>
    <t>Mittwoch</t>
  </si>
  <si>
    <t>Donnerstag</t>
  </si>
  <si>
    <t>Freitag</t>
  </si>
  <si>
    <t>Samstag</t>
  </si>
  <si>
    <t>Sonntag</t>
  </si>
  <si>
    <t>Vormonat:</t>
  </si>
  <si>
    <t>Wochentotal</t>
  </si>
  <si>
    <t>mit tagesaktueller Über-/Minuszeit</t>
  </si>
  <si>
    <t>und manueller Übername aus Vormonat</t>
  </si>
  <si>
    <t>Jahr</t>
  </si>
  <si>
    <t>Feiertag</t>
  </si>
  <si>
    <t>gilt von 1900 bis 2078</t>
  </si>
  <si>
    <t>x</t>
  </si>
  <si>
    <t>Neujahr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</si>
  <si>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</si>
  <si>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</si>
  <si>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</si>
  <si>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</si>
  <si>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</si>
  <si>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</si>
  <si>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</si>
  <si>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</si>
  <si>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</si>
  <si>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</si>
  <si>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</si>
  <si>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</si>
  <si>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</si>
  <si>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</si>
  <si>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Nationalfeiertag (D)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</si>
  <si>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</si>
  <si>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</si>
  <si>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</si>
  <si>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</si>
  <si>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</si>
  <si>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</si>
  <si>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</si>
  <si>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</si>
  <si>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</si>
  <si>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</si>
  <si>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</si>
  <si>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</si>
  <si>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</si>
  <si>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</si>
  <si>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Pensum</t>
  </si>
  <si>
    <t>WochenSoll</t>
  </si>
  <si>
    <t>WochenPensum</t>
  </si>
  <si>
    <t>Arbeitstage:</t>
  </si>
  <si>
    <t>Berchtoldstag</t>
  </si>
  <si>
    <t>Monatspensum:</t>
  </si>
  <si>
    <t>Tagespensum:</t>
  </si>
  <si>
    <t>dezimal</t>
  </si>
  <si>
    <t>Tage</t>
  </si>
  <si>
    <t>Ferien</t>
  </si>
  <si>
    <t>Stunden</t>
  </si>
  <si>
    <t>Guthaben</t>
  </si>
  <si>
    <t>Bezug</t>
  </si>
  <si>
    <t>Saldo</t>
  </si>
  <si>
    <t>ArbTage / Woche</t>
  </si>
  <si>
    <t>Krankheit</t>
  </si>
  <si>
    <t>Name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</si>
</sst>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h]:mm"/>
    <numFmt numFmtId="179" formatCode="&quot;Sollzeit&quot;\ hh:mm"/>
    <numFmt numFmtId="180" formatCode="dddd"/>
    <numFmt numFmtId="181" formatCode="h:mm"/>
    <numFmt numFmtId="182" formatCode="[h]:mm;;"/>
    <numFmt numFmtId="183" formatCode="mmm\ yyyy"/>
    <numFmt numFmtId="184" formatCode="[&gt;0.0000115]\ [h]:mm;;"/>
    <numFmt numFmtId="185" formatCode="[hh]:mm"/>
    <numFmt numFmtId="186" formatCode="[&gt;0.0000115]\-\ [h]:mm;;"/>
    <numFmt numFmtId="187" formatCode="0.0"/>
    <numFmt numFmtId="188" formatCode="dd/mm/yyyy;;"/>
    <numFmt numFmtId="189" formatCode="0.00;;"/>
    <numFmt numFmtId="190" formatCode="&quot;SFr.&quot;#,##0;&quot;SFr.&quot;\-#,##0"/>
    <numFmt numFmtId="191" formatCode="&quot;SFr.&quot;#,##0;[Red]&quot;SFr.&quot;\-#,##0"/>
    <numFmt numFmtId="192" formatCode="&quot;SFr.&quot;#,##0.00;&quot;SFr.&quot;\-#,##0.00"/>
    <numFmt numFmtId="193" formatCode="&quot;SFr.&quot;#,##0.00;[Red]&quot;SFr.&quot;\-#,##0.00"/>
    <numFmt numFmtId="194" formatCode="_ &quot;SFr.&quot;* #,##0_ ;_ &quot;SFr.&quot;* \-#,##0_ ;_ &quot;SFr.&quot;* &quot;-&quot;_ ;_ @_ "/>
    <numFmt numFmtId="195" formatCode="_ &quot;SFr.&quot;* #,##0.00_ ;_ &quot;SFr.&quot;* \-#,##0.00_ ;_ &quot;SFr.&quot;* &quot;-&quot;??_ ;_ @_ "/>
    <numFmt numFmtId="196" formatCode="&quot;Fr.&quot;#,##0;&quot;Fr.&quot;\-#,##0"/>
    <numFmt numFmtId="197" formatCode="&quot;Fr.&quot;#,##0;[Red]&quot;Fr.&quot;\-#,##0"/>
    <numFmt numFmtId="198" formatCode="&quot;Fr.&quot;#,##0.00;&quot;Fr.&quot;\-#,##0.00"/>
    <numFmt numFmtId="199" formatCode="&quot;Fr.&quot;#,##0.00;[Red]&quot;Fr.&quot;\-#,##0.00"/>
    <numFmt numFmtId="200" formatCode="_ &quot;Fr.&quot;* #,##0_ ;_ &quot;Fr.&quot;* \-#,##0_ ;_ &quot;Fr.&quot;* &quot;-&quot;_ ;_ @_ "/>
    <numFmt numFmtId="201" formatCode="_ &quot;Fr.&quot;* #,##0.00_ ;_ &quot;Fr.&quot;* \-#,##0.00_ ;_ &quot;Fr.&quot;* &quot;-&quot;??_ ;_ @_ "/>
    <numFmt numFmtId="202" formatCode="&quot;Fr.&quot;#,##0;\-&quot;Fr.&quot;#,##0"/>
    <numFmt numFmtId="203" formatCode="&quot;Fr.&quot;#,##0;[Red]\-&quot;Fr.&quot;#,##0"/>
    <numFmt numFmtId="204" formatCode="&quot;Fr.&quot;#,##0.00;\-&quot;Fr.&quot;#,##0.00"/>
    <numFmt numFmtId="205" formatCode="&quot;Fr.&quot;#,##0.00;[Red]\-&quot;Fr.&quot;#,##0.00"/>
    <numFmt numFmtId="206" formatCode="_-&quot;Fr.&quot;* #,##0_-;\-&quot;Fr.&quot;* #,##0_-;_-&quot;Fr.&quot;* &quot;-&quot;_-;_-@_-"/>
    <numFmt numFmtId="207" formatCode="_-* #,##0_-;\-* #,##0_-;_-* &quot;-&quot;_-;_-@_-"/>
    <numFmt numFmtId="208" formatCode="_-&quot;Fr.&quot;* #,##0.00_-;\-&quot;Fr.&quot;* #,##0.00_-;_-&quot;Fr.&quot;* &quot;-&quot;??_-;_-@_-"/>
    <numFmt numFmtId="209" formatCode="_-* #,##0.00_-;\-* #,##0.00_-;_-* &quot;-&quot;??_-;_-@_-"/>
    <numFmt numFmtId="210" formatCode="mmmm"/>
    <numFmt numFmtId="211" formatCode="mmmm\ yyyy"/>
    <numFmt numFmtId="212" formatCode="[&lt;1]\ [h]:mm;;"/>
    <numFmt numFmtId="213" formatCode="[&lt;0.5]\ [h]:mm;;"/>
    <numFmt numFmtId="214" formatCode="[&lt;0]\ [h]:mm;;"/>
    <numFmt numFmtId="215" formatCode="dd\-mm\-yyyy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-807]dddd\,\ d\.\ mmmm\ yyyy"/>
    <numFmt numFmtId="22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sz val="10"/>
      <color indexed="8"/>
      <name val="Arial Unicode MS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20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9" fontId="4" fillId="33" borderId="0" xfId="0" applyNumberFormat="1" applyFont="1" applyFill="1" applyAlignment="1" applyProtection="1">
      <alignment/>
      <protection/>
    </xf>
    <xf numFmtId="20" fontId="4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20" fontId="1" fillId="33" borderId="0" xfId="0" applyNumberFormat="1" applyFont="1" applyFill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1" fillId="33" borderId="0" xfId="0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182" fontId="0" fillId="0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20" fontId="0" fillId="33" borderId="0" xfId="0" applyNumberFormat="1" applyFill="1" applyAlignment="1" applyProtection="1">
      <alignment vertical="center"/>
      <protection/>
    </xf>
    <xf numFmtId="18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178" fontId="0" fillId="0" borderId="0" xfId="0" applyNumberFormat="1" applyAlignment="1" applyProtection="1">
      <alignment vertical="center"/>
      <protection/>
    </xf>
    <xf numFmtId="20" fontId="0" fillId="33" borderId="0" xfId="0" applyNumberFormat="1" applyFill="1" applyAlignment="1" applyProtection="1">
      <alignment horizontal="right" vertical="center"/>
      <protection/>
    </xf>
    <xf numFmtId="18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20" fontId="0" fillId="34" borderId="0" xfId="0" applyNumberForma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185" fontId="0" fillId="35" borderId="0" xfId="0" applyNumberFormat="1" applyFill="1" applyAlignment="1" applyProtection="1">
      <alignment/>
      <protection/>
    </xf>
    <xf numFmtId="185" fontId="0" fillId="0" borderId="0" xfId="0" applyNumberForma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14" fontId="11" fillId="0" borderId="0" xfId="0" applyNumberFormat="1" applyFont="1" applyAlignment="1" quotePrefix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80" fontId="0" fillId="0" borderId="0" xfId="0" applyNumberFormat="1" applyBorder="1" applyAlignment="1" applyProtection="1">
      <alignment horizontal="left" vertical="center"/>
      <protection/>
    </xf>
    <xf numFmtId="182" fontId="0" fillId="0" borderId="10" xfId="0" applyNumberFormat="1" applyFill="1" applyBorder="1" applyAlignment="1" applyProtection="1">
      <alignment horizontal="center" vertical="center"/>
      <protection/>
    </xf>
    <xf numFmtId="18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8" fontId="1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8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82" fontId="1" fillId="0" borderId="14" xfId="0" applyNumberFormat="1" applyFont="1" applyBorder="1" applyAlignment="1" applyProtection="1">
      <alignment horizontal="right"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5" fontId="0" fillId="0" borderId="16" xfId="0" applyNumberFormat="1" applyBorder="1" applyAlignment="1">
      <alignment/>
    </xf>
    <xf numFmtId="182" fontId="0" fillId="0" borderId="17" xfId="0" applyNumberFormat="1" applyBorder="1" applyAlignment="1" applyProtection="1">
      <alignment horizontal="right"/>
      <protection/>
    </xf>
    <xf numFmtId="182" fontId="0" fillId="0" borderId="13" xfId="0" applyNumberFormat="1" applyBorder="1" applyAlignment="1" applyProtection="1">
      <alignment/>
      <protection/>
    </xf>
    <xf numFmtId="185" fontId="0" fillId="0" borderId="18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85" fontId="0" fillId="34" borderId="0" xfId="0" applyNumberFormat="1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2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20" fontId="1" fillId="0" borderId="0" xfId="0" applyNumberFormat="1" applyFont="1" applyAlignment="1" applyProtection="1">
      <alignment horizontal="centerContinuous"/>
      <protection/>
    </xf>
    <xf numFmtId="2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6"/>
        </patternFill>
      </fill>
      <border>
        <left/>
        <right/>
        <top/>
        <bottom/>
      </border>
    </dxf>
    <dxf>
      <fill>
        <patternFill>
          <bgColor indexed="24"/>
        </patternFill>
      </fill>
      <border>
        <left/>
        <right/>
        <top/>
        <bottom/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26"/>
        </patternFill>
      </fill>
      <border>
        <left/>
        <right/>
        <top/>
        <bottom/>
      </border>
    </dxf>
    <dxf>
      <fill>
        <patternFill>
          <bgColor indexed="2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EB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5" zoomScaleNormal="75" workbookViewId="0" topLeftCell="A1">
      <selection activeCell="J50" sqref="J50"/>
    </sheetView>
  </sheetViews>
  <sheetFormatPr defaultColWidth="11.57421875" defaultRowHeight="12.75"/>
  <cols>
    <col min="1" max="1" width="2.7109375" style="3" customWidth="1"/>
    <col min="2" max="2" width="11.00390625" style="3" bestFit="1" customWidth="1"/>
    <col min="3" max="3" width="13.7109375" style="3" bestFit="1" customWidth="1"/>
    <col min="4" max="4" width="2.7109375" style="3" customWidth="1"/>
    <col min="5" max="8" width="7.7109375" style="3" customWidth="1"/>
    <col min="9" max="9" width="2.7109375" style="3" customWidth="1"/>
    <col min="10" max="12" width="7.7109375" style="3" customWidth="1"/>
    <col min="13" max="13" width="8.8515625" style="3" bestFit="1" customWidth="1"/>
    <col min="14" max="14" width="2.7109375" style="3" customWidth="1"/>
    <col min="15" max="15" width="11.57421875" style="3" customWidth="1"/>
    <col min="16" max="16" width="15.421875" style="3" customWidth="1"/>
    <col min="17" max="17" width="2.7109375" style="3" customWidth="1"/>
    <col min="18" max="19" width="10.28125" style="3" customWidth="1"/>
    <col min="20" max="16384" width="11.57421875" style="3" customWidth="1"/>
  </cols>
  <sheetData>
    <row r="1" spans="1:14" ht="17.2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2"/>
      <c r="M1" s="2"/>
      <c r="N1" s="1"/>
    </row>
    <row r="2" spans="1:14" ht="29.25" customHeight="1">
      <c r="A2" s="4"/>
      <c r="B2" s="75" t="s">
        <v>0</v>
      </c>
      <c r="C2" s="75"/>
      <c r="D2" s="4"/>
      <c r="E2" s="4"/>
      <c r="F2" s="4"/>
      <c r="G2" s="5"/>
      <c r="H2" s="6"/>
      <c r="I2" s="6"/>
      <c r="J2" s="74" t="s">
        <v>77</v>
      </c>
      <c r="K2" s="74"/>
      <c r="L2" s="74"/>
      <c r="M2" s="74"/>
      <c r="N2" s="4"/>
    </row>
    <row r="3" spans="1:16" ht="17.25" customHeight="1">
      <c r="A3" s="1"/>
      <c r="B3" s="1"/>
      <c r="C3" s="1"/>
      <c r="D3" s="1"/>
      <c r="E3" s="2"/>
      <c r="F3" s="1"/>
      <c r="G3" s="2"/>
      <c r="H3" s="2"/>
      <c r="I3" s="2"/>
      <c r="J3" s="2"/>
      <c r="K3" s="1"/>
      <c r="L3" s="2"/>
      <c r="M3" s="2"/>
      <c r="N3" s="1"/>
      <c r="P3" s="35" t="s">
        <v>25</v>
      </c>
    </row>
    <row r="4" spans="1:16" ht="17.25" customHeight="1">
      <c r="A4" s="7"/>
      <c r="B4" s="19" t="s">
        <v>1</v>
      </c>
      <c r="C4" s="19" t="s">
        <v>2</v>
      </c>
      <c r="D4" s="7"/>
      <c r="E4" s="9" t="s">
        <v>3</v>
      </c>
      <c r="F4" s="10"/>
      <c r="G4" s="73" t="s">
        <v>4</v>
      </c>
      <c r="H4" s="9"/>
      <c r="I4" s="11"/>
      <c r="J4" s="18" t="s">
        <v>5</v>
      </c>
      <c r="K4" s="19" t="s">
        <v>6</v>
      </c>
      <c r="L4" s="18" t="s">
        <v>7</v>
      </c>
      <c r="M4" s="18" t="s">
        <v>8</v>
      </c>
      <c r="N4" s="7"/>
      <c r="P4" s="35" t="s">
        <v>26</v>
      </c>
    </row>
    <row r="5" spans="1:20" ht="17.25" customHeight="1">
      <c r="A5" s="7"/>
      <c r="B5" s="12"/>
      <c r="C5" s="8"/>
      <c r="D5" s="7"/>
      <c r="E5" s="18" t="s">
        <v>9</v>
      </c>
      <c r="F5" s="18" t="s">
        <v>10</v>
      </c>
      <c r="G5" s="18" t="s">
        <v>9</v>
      </c>
      <c r="H5" s="18" t="s">
        <v>10</v>
      </c>
      <c r="I5" s="11"/>
      <c r="J5" s="20"/>
      <c r="K5" s="19" t="s">
        <v>11</v>
      </c>
      <c r="L5" s="19" t="s">
        <v>11</v>
      </c>
      <c r="M5" s="19" t="s">
        <v>11</v>
      </c>
      <c r="N5" s="7"/>
      <c r="P5" s="3" t="s">
        <v>2</v>
      </c>
      <c r="R5" s="52" t="s">
        <v>14</v>
      </c>
      <c r="S5" s="52" t="s">
        <v>15</v>
      </c>
      <c r="T5" s="52" t="s">
        <v>68</v>
      </c>
    </row>
    <row r="6" spans="1:22" ht="17.25" customHeight="1">
      <c r="A6" s="7"/>
      <c r="B6" s="7"/>
      <c r="C6" s="7"/>
      <c r="D6" s="7"/>
      <c r="E6" s="14"/>
      <c r="F6" s="14"/>
      <c r="G6" s="14"/>
      <c r="H6" s="14"/>
      <c r="I6" s="11"/>
      <c r="J6" s="2"/>
      <c r="K6" s="15"/>
      <c r="L6" s="15"/>
      <c r="M6" s="15"/>
      <c r="N6" s="7"/>
      <c r="P6" s="29" t="s">
        <v>16</v>
      </c>
      <c r="Q6" s="30">
        <v>1</v>
      </c>
      <c r="R6" s="31">
        <f>TagesPensum</f>
        <v>0.315</v>
      </c>
      <c r="S6" s="31">
        <v>0.010416666666666666</v>
      </c>
      <c r="T6" s="30">
        <f aca="true" t="shared" si="0" ref="T6:T13">R6*24</f>
        <v>7.5600000000000005</v>
      </c>
      <c r="U6" s="13"/>
      <c r="V6" s="30"/>
    </row>
    <row r="7" spans="1:22" ht="17.25" customHeight="1">
      <c r="A7" s="1"/>
      <c r="B7" s="70">
        <v>42370</v>
      </c>
      <c r="C7" s="45">
        <f aca="true" t="shared" si="1" ref="C7:C37">B7</f>
        <v>42370</v>
      </c>
      <c r="D7" s="22"/>
      <c r="E7" s="69"/>
      <c r="F7" s="53"/>
      <c r="G7" s="53"/>
      <c r="H7" s="53"/>
      <c r="I7" s="23"/>
      <c r="J7" s="46">
        <f aca="true" t="shared" si="2" ref="J7:J37">IF(E7="",0,IF(OR(E7="U",E7="K"),K7,MAX(0,F7-E7-VLOOKUP(WEEKDAY(B7,2),Arbeitszeit,3,1))))+IF(G7&lt;&gt;"",(H7-G7),0)</f>
        <v>0</v>
      </c>
      <c r="K7" s="46">
        <f aca="true" t="shared" si="3" ref="K7:K37">IF(OR($B7="",ISNUMBER(VLOOKUP($B7,Feiertage,1,0)),E7="U"),0,VLOOKUP(WEEKDAY(B7,2),Arbeitszeit,2,0))</f>
        <v>0</v>
      </c>
      <c r="L7" s="46">
        <f>IF(J7=0,0,MAX(0,Ueberzeit+SUM($J$7:J7)-SUM($K$7:K7)-Minuszeit))</f>
        <v>0</v>
      </c>
      <c r="M7" s="46">
        <f>IF(OR(J7=0,ISTEXT(J7)),0,MAX(0,Minuszeit+SUM($K$7:K7)-SUM($J$7:J7)-Ueberzeit))</f>
        <v>0</v>
      </c>
      <c r="N7" s="1"/>
      <c r="O7" s="46">
        <f ca="1">IF(B6="","",IF(B7="",SUM(INDIRECT("J"&amp;ROW()-1&amp;":J"&amp;ROW()-WEEKDAY(B6,2))),IF(WEEKDAY(B7,2)=6,SUM(J2:J6),"")))</f>
      </c>
      <c r="P7" s="43" t="s">
        <v>17</v>
      </c>
      <c r="Q7" s="30">
        <v>2</v>
      </c>
      <c r="R7" s="31">
        <f>TagesPensum</f>
        <v>0.315</v>
      </c>
      <c r="S7" s="31">
        <v>0.010416666666666666</v>
      </c>
      <c r="T7" s="30">
        <f t="shared" si="0"/>
        <v>7.5600000000000005</v>
      </c>
      <c r="U7" s="13"/>
      <c r="V7" s="30"/>
    </row>
    <row r="8" spans="1:22" ht="17.25" customHeight="1">
      <c r="A8" s="1"/>
      <c r="B8" s="71">
        <f aca="true" t="shared" si="4" ref="B8:B37">IF(B7="","",IF(MONTH(B7+1)=MONTH($B$7),B7+1,""))</f>
        <v>42371</v>
      </c>
      <c r="C8" s="45">
        <f t="shared" si="1"/>
        <v>42371</v>
      </c>
      <c r="D8" s="22"/>
      <c r="E8" s="69"/>
      <c r="F8" s="53"/>
      <c r="G8" s="53"/>
      <c r="H8" s="53"/>
      <c r="I8" s="23"/>
      <c r="J8" s="46">
        <f t="shared" si="2"/>
        <v>0</v>
      </c>
      <c r="K8" s="46">
        <f t="shared" si="3"/>
        <v>0</v>
      </c>
      <c r="L8" s="46">
        <f>IF(J8=0,0,MAX(0,Ueberzeit+SUM($J$7:J8)-SUM($K$7:K8)-Minuszeit))</f>
        <v>0</v>
      </c>
      <c r="M8" s="46">
        <f>IF(OR(J8=0,ISTEXT(J8)),0,MAX(0,Minuszeit+SUM($K$7:K8)-SUM($J$7:J8)-Ueberzeit))</f>
        <v>0</v>
      </c>
      <c r="N8" s="1"/>
      <c r="O8" s="46">
        <f aca="true" ca="1" t="shared" si="5" ref="O8:O38">IF(B7="","",IF(B8="",SUM(INDIRECT("J"&amp;ROW()-1&amp;":J"&amp;ROW()-WEEKDAY(B7,2))),IF(WEEKDAY(B8,2)=6,SUM(J3:J7),"")))</f>
        <v>0</v>
      </c>
      <c r="P8" s="43" t="s">
        <v>18</v>
      </c>
      <c r="Q8" s="30">
        <v>3</v>
      </c>
      <c r="R8" s="31">
        <f>TagesPensum</f>
        <v>0.315</v>
      </c>
      <c r="S8" s="31">
        <v>0.0104166666666667</v>
      </c>
      <c r="T8" s="30">
        <f t="shared" si="0"/>
        <v>7.5600000000000005</v>
      </c>
      <c r="U8" s="13"/>
      <c r="V8" s="30"/>
    </row>
    <row r="9" spans="1:22" ht="17.25" customHeight="1">
      <c r="A9" s="1"/>
      <c r="B9" s="71">
        <f t="shared" si="4"/>
        <v>42372</v>
      </c>
      <c r="C9" s="45">
        <f t="shared" si="1"/>
        <v>42372</v>
      </c>
      <c r="D9" s="22"/>
      <c r="E9" s="69"/>
      <c r="F9" s="53"/>
      <c r="G9" s="53"/>
      <c r="H9" s="53"/>
      <c r="I9" s="23"/>
      <c r="J9" s="46">
        <f t="shared" si="2"/>
        <v>0</v>
      </c>
      <c r="K9" s="46">
        <f t="shared" si="3"/>
        <v>0</v>
      </c>
      <c r="L9" s="46">
        <f>IF(J9=0,0,MAX(0,Ueberzeit+SUM($J$7:J9)-SUM($K$7:K9)-Minuszeit))</f>
        <v>0</v>
      </c>
      <c r="M9" s="46">
        <f>IF(OR(J9=0,ISTEXT(J9)),0,MAX(0,Minuszeit+SUM($K$7:K9)-SUM($J$7:J9)-Ueberzeit))</f>
        <v>0</v>
      </c>
      <c r="N9" s="1"/>
      <c r="O9" s="46">
        <f ca="1" t="shared" si="5"/>
      </c>
      <c r="P9" s="43" t="s">
        <v>19</v>
      </c>
      <c r="Q9" s="30">
        <v>4</v>
      </c>
      <c r="R9" s="31">
        <f>TagesPensum</f>
        <v>0.315</v>
      </c>
      <c r="S9" s="31">
        <v>0.0104166666666667</v>
      </c>
      <c r="T9" s="30">
        <f t="shared" si="0"/>
        <v>7.5600000000000005</v>
      </c>
      <c r="U9" s="13"/>
      <c r="V9" s="30"/>
    </row>
    <row r="10" spans="1:22" ht="17.25" customHeight="1">
      <c r="A10" s="1"/>
      <c r="B10" s="71">
        <f t="shared" si="4"/>
        <v>42373</v>
      </c>
      <c r="C10" s="45">
        <f t="shared" si="1"/>
        <v>42373</v>
      </c>
      <c r="D10" s="22"/>
      <c r="E10" s="53"/>
      <c r="F10" s="53"/>
      <c r="G10" s="53"/>
      <c r="H10" s="53"/>
      <c r="I10" s="23"/>
      <c r="J10" s="46">
        <f t="shared" si="2"/>
        <v>0</v>
      </c>
      <c r="K10" s="46">
        <f t="shared" si="3"/>
        <v>0.315</v>
      </c>
      <c r="L10" s="46">
        <f>IF(J10=0,0,MAX(0,Ueberzeit+SUM($J$7:J10)-SUM($K$7:K10)-Minuszeit))</f>
        <v>0</v>
      </c>
      <c r="M10" s="46">
        <f>IF(OR(J10=0,ISTEXT(J10)),0,MAX(0,Minuszeit+SUM($K$7:K10)-SUM($J$7:J10)-Ueberzeit))</f>
        <v>0</v>
      </c>
      <c r="N10" s="1"/>
      <c r="O10" s="46">
        <f ca="1" t="shared" si="5"/>
      </c>
      <c r="P10" s="29" t="s">
        <v>20</v>
      </c>
      <c r="Q10" s="30">
        <v>5</v>
      </c>
      <c r="R10" s="31">
        <f>TagesPensum</f>
        <v>0.315</v>
      </c>
      <c r="S10" s="31">
        <v>0.0104166666666667</v>
      </c>
      <c r="T10" s="30">
        <f t="shared" si="0"/>
        <v>7.5600000000000005</v>
      </c>
      <c r="U10" s="13"/>
      <c r="V10" s="30"/>
    </row>
    <row r="11" spans="1:22" ht="17.25" customHeight="1">
      <c r="A11" s="1"/>
      <c r="B11" s="71">
        <f t="shared" si="4"/>
        <v>42374</v>
      </c>
      <c r="C11" s="45">
        <f t="shared" si="1"/>
        <v>42374</v>
      </c>
      <c r="D11" s="22"/>
      <c r="E11" s="53"/>
      <c r="F11" s="53"/>
      <c r="G11" s="53"/>
      <c r="H11" s="53"/>
      <c r="I11" s="23"/>
      <c r="J11" s="46">
        <f t="shared" si="2"/>
        <v>0</v>
      </c>
      <c r="K11" s="46">
        <f t="shared" si="3"/>
        <v>0.315</v>
      </c>
      <c r="L11" s="46">
        <f>IF(J11=0,0,MAX(0,Ueberzeit+SUM($J$7:J11)-SUM($K$7:K11)-Minuszeit))</f>
        <v>0</v>
      </c>
      <c r="M11" s="46">
        <f>IF(OR(J11=0,ISTEXT(J11)),0,MAX(0,Minuszeit+SUM($K$7:K11)-SUM($J$7:J11)-Ueberzeit))</f>
        <v>0</v>
      </c>
      <c r="N11" s="1"/>
      <c r="O11" s="46">
        <f ca="1" t="shared" si="5"/>
      </c>
      <c r="P11" s="32" t="s">
        <v>21</v>
      </c>
      <c r="Q11" s="30">
        <v>6</v>
      </c>
      <c r="R11" s="31">
        <v>0</v>
      </c>
      <c r="S11" s="31">
        <v>0.010416666666666666</v>
      </c>
      <c r="T11" s="30">
        <f t="shared" si="0"/>
        <v>0</v>
      </c>
      <c r="U11" s="13"/>
      <c r="V11" s="30"/>
    </row>
    <row r="12" spans="1:22" ht="17.25" customHeight="1">
      <c r="A12" s="1"/>
      <c r="B12" s="71">
        <f t="shared" si="4"/>
        <v>42375</v>
      </c>
      <c r="C12" s="45">
        <f t="shared" si="1"/>
        <v>42375</v>
      </c>
      <c r="D12" s="22"/>
      <c r="E12" s="53"/>
      <c r="F12" s="53"/>
      <c r="G12" s="53"/>
      <c r="H12" s="53"/>
      <c r="I12" s="23"/>
      <c r="J12" s="46">
        <f t="shared" si="2"/>
        <v>0</v>
      </c>
      <c r="K12" s="46">
        <f t="shared" si="3"/>
        <v>0.315</v>
      </c>
      <c r="L12" s="46">
        <f>IF(J12=0,0,MAX(0,Ueberzeit+SUM($J$7:J12)-SUM($K$7:K12)-Minuszeit))</f>
        <v>0</v>
      </c>
      <c r="M12" s="46">
        <f>IF(OR(J12=0,ISTEXT(J12)),0,MAX(0,Minuszeit+SUM($K$7:K12)-SUM($J$7:J12)-Ueberzeit))</f>
        <v>0</v>
      </c>
      <c r="N12" s="1"/>
      <c r="O12" s="46">
        <f ca="1" t="shared" si="5"/>
      </c>
      <c r="P12" s="44" t="s">
        <v>22</v>
      </c>
      <c r="Q12" s="30">
        <v>7</v>
      </c>
      <c r="R12" s="31">
        <v>0</v>
      </c>
      <c r="S12" s="31">
        <v>0.010416666666666666</v>
      </c>
      <c r="T12" s="30">
        <f t="shared" si="0"/>
        <v>0</v>
      </c>
      <c r="U12" s="13"/>
      <c r="V12" s="30"/>
    </row>
    <row r="13" spans="1:22" ht="17.25" customHeight="1">
      <c r="A13" s="1"/>
      <c r="B13" s="71">
        <f t="shared" si="4"/>
        <v>42376</v>
      </c>
      <c r="C13" s="45">
        <f t="shared" si="1"/>
        <v>42376</v>
      </c>
      <c r="D13" s="22"/>
      <c r="E13" s="53"/>
      <c r="F13" s="53"/>
      <c r="G13" s="53"/>
      <c r="H13" s="53"/>
      <c r="I13" s="23"/>
      <c r="J13" s="46">
        <f t="shared" si="2"/>
        <v>0</v>
      </c>
      <c r="K13" s="46">
        <f t="shared" si="3"/>
        <v>0.315</v>
      </c>
      <c r="L13" s="46">
        <f>IF(J13=0,0,MAX(0,Ueberzeit+SUM($J$7:J13)-SUM($K$7:K13)-Minuszeit))</f>
        <v>0</v>
      </c>
      <c r="M13" s="46">
        <f>IF(OR(J13=0,ISTEXT(J13)),0,MAX(0,Minuszeit+SUM($K$7:K13)-SUM($J$7:J13)-Ueberzeit))</f>
        <v>0</v>
      </c>
      <c r="N13" s="1"/>
      <c r="O13" s="46">
        <f ca="1" t="shared" si="5"/>
      </c>
      <c r="P13" s="28" t="s">
        <v>24</v>
      </c>
      <c r="Q13" s="28"/>
      <c r="R13" s="33">
        <f>SUM(R6:R12)</f>
        <v>1.575</v>
      </c>
      <c r="T13" s="30">
        <f t="shared" si="0"/>
        <v>37.8</v>
      </c>
      <c r="U13" s="48"/>
      <c r="V13" s="30"/>
    </row>
    <row r="14" spans="1:15" ht="17.25" customHeight="1">
      <c r="A14" s="1"/>
      <c r="B14" s="71">
        <f t="shared" si="4"/>
        <v>42377</v>
      </c>
      <c r="C14" s="45">
        <f t="shared" si="1"/>
        <v>42377</v>
      </c>
      <c r="D14" s="22"/>
      <c r="E14" s="53"/>
      <c r="F14" s="53"/>
      <c r="G14" s="53"/>
      <c r="H14" s="53"/>
      <c r="I14" s="23"/>
      <c r="J14" s="46">
        <f t="shared" si="2"/>
        <v>0</v>
      </c>
      <c r="K14" s="46">
        <f t="shared" si="3"/>
        <v>0.315</v>
      </c>
      <c r="L14" s="46">
        <f>IF(J14=0,0,MAX(0,Ueberzeit+SUM($J$7:J14)-SUM($K$7:K14)-Minuszeit))</f>
        <v>0</v>
      </c>
      <c r="M14" s="46">
        <f>IF(OR(J14=0,ISTEXT(J14)),0,MAX(0,Minuszeit+SUM($K$7:K14)-SUM($J$7:J14)-Ueberzeit))</f>
        <v>0</v>
      </c>
      <c r="N14" s="1"/>
      <c r="O14" s="46">
        <f ca="1" t="shared" si="5"/>
      </c>
    </row>
    <row r="15" spans="1:20" ht="17.25" customHeight="1">
      <c r="A15" s="1"/>
      <c r="B15" s="71">
        <f t="shared" si="4"/>
        <v>42378</v>
      </c>
      <c r="C15" s="45">
        <f t="shared" si="1"/>
        <v>42378</v>
      </c>
      <c r="D15" s="22"/>
      <c r="E15" s="53"/>
      <c r="F15" s="53"/>
      <c r="G15" s="53"/>
      <c r="H15" s="53"/>
      <c r="I15" s="23"/>
      <c r="J15" s="46">
        <f t="shared" si="2"/>
        <v>0</v>
      </c>
      <c r="K15" s="46">
        <f t="shared" si="3"/>
        <v>0</v>
      </c>
      <c r="L15" s="46">
        <f>IF(J15=0,0,MAX(0,Ueberzeit+SUM($J$7:J15)-SUM($K$7:K15)-Minuszeit))</f>
        <v>0</v>
      </c>
      <c r="M15" s="46">
        <f>IF(OR(J15=0,ISTEXT(J15)),0,MAX(0,Minuszeit+SUM($K$7:K15)-SUM($J$7:J15)-Ueberzeit))</f>
        <v>0</v>
      </c>
      <c r="N15" s="1"/>
      <c r="O15" s="46">
        <f ca="1" t="shared" si="5"/>
        <v>0</v>
      </c>
      <c r="P15" s="28" t="s">
        <v>62</v>
      </c>
      <c r="Q15" s="28"/>
      <c r="R15" s="66">
        <v>1.75</v>
      </c>
      <c r="T15" s="47">
        <f>R15*24</f>
        <v>42</v>
      </c>
    </row>
    <row r="16" spans="1:20" ht="17.25" customHeight="1">
      <c r="A16" s="1"/>
      <c r="B16" s="71">
        <f t="shared" si="4"/>
        <v>42379</v>
      </c>
      <c r="C16" s="45">
        <f t="shared" si="1"/>
        <v>42379</v>
      </c>
      <c r="D16" s="22"/>
      <c r="E16" s="53"/>
      <c r="F16" s="53"/>
      <c r="G16" s="53"/>
      <c r="H16" s="53"/>
      <c r="I16" s="23"/>
      <c r="J16" s="46">
        <f t="shared" si="2"/>
        <v>0</v>
      </c>
      <c r="K16" s="46">
        <f t="shared" si="3"/>
        <v>0</v>
      </c>
      <c r="L16" s="46">
        <f>IF(J16=0,0,MAX(0,Ueberzeit+SUM($J$7:J16)-SUM($K$7:K16)-Minuszeit))</f>
        <v>0</v>
      </c>
      <c r="M16" s="46">
        <f>IF(OR(J16=0,ISTEXT(J16)),0,MAX(0,Minuszeit+SUM($K$7:K16)-SUM($J$7:J16)-Ueberzeit))</f>
        <v>0</v>
      </c>
      <c r="N16" s="1"/>
      <c r="O16" s="46">
        <f ca="1" t="shared" si="5"/>
      </c>
      <c r="P16" s="28" t="s">
        <v>61</v>
      </c>
      <c r="Q16" s="28"/>
      <c r="R16" s="67">
        <v>0.9</v>
      </c>
      <c r="T16" s="30"/>
    </row>
    <row r="17" spans="1:18" ht="17.25" customHeight="1">
      <c r="A17" s="1"/>
      <c r="B17" s="71">
        <f t="shared" si="4"/>
        <v>42380</v>
      </c>
      <c r="C17" s="45">
        <f t="shared" si="1"/>
        <v>42380</v>
      </c>
      <c r="D17" s="22"/>
      <c r="E17" s="53"/>
      <c r="F17" s="53"/>
      <c r="G17" s="53"/>
      <c r="H17" s="53"/>
      <c r="I17" s="23"/>
      <c r="J17" s="46">
        <f t="shared" si="2"/>
        <v>0</v>
      </c>
      <c r="K17" s="46">
        <f t="shared" si="3"/>
        <v>0.315</v>
      </c>
      <c r="L17" s="46">
        <f>IF(J17=0,0,MAX(0,Ueberzeit+SUM($J$7:J17)-SUM($K$7:K17)-Minuszeit))</f>
        <v>0</v>
      </c>
      <c r="M17" s="46">
        <f>IF(OR(J17=0,ISTEXT(J17)),0,MAX(0,Minuszeit+SUM($K$7:K17)-SUM($J$7:J17)-Ueberzeit))</f>
        <v>0</v>
      </c>
      <c r="N17" s="1"/>
      <c r="O17" s="46">
        <f ca="1" t="shared" si="5"/>
      </c>
      <c r="P17" s="28" t="s">
        <v>75</v>
      </c>
      <c r="R17" s="68">
        <v>5</v>
      </c>
    </row>
    <row r="18" spans="1:20" ht="17.25" customHeight="1">
      <c r="A18" s="1"/>
      <c r="B18" s="71">
        <f t="shared" si="4"/>
        <v>42381</v>
      </c>
      <c r="C18" s="45">
        <f t="shared" si="1"/>
        <v>42381</v>
      </c>
      <c r="D18" s="22"/>
      <c r="E18" s="53"/>
      <c r="F18" s="53"/>
      <c r="G18" s="53"/>
      <c r="H18" s="53"/>
      <c r="I18" s="23"/>
      <c r="J18" s="46">
        <f t="shared" si="2"/>
        <v>0</v>
      </c>
      <c r="K18" s="46">
        <f t="shared" si="3"/>
        <v>0.315</v>
      </c>
      <c r="L18" s="46">
        <f>IF(J18=0,0,MAX(0,Ueberzeit+SUM($J$7:J18)-SUM($K$7:K18)-Minuszeit))</f>
        <v>0</v>
      </c>
      <c r="M18" s="46">
        <f>IF(OR(J18=0,ISTEXT(J18)),0,MAX(0,Minuszeit+SUM($K$7:K18)-SUM($J$7:J18)-Ueberzeit))</f>
        <v>0</v>
      </c>
      <c r="N18" s="1"/>
      <c r="O18" s="46">
        <f ca="1" t="shared" si="5"/>
      </c>
      <c r="P18" s="28" t="s">
        <v>63</v>
      </c>
      <c r="Q18" s="28"/>
      <c r="R18" s="33">
        <f>WochenSoll*Pensum</f>
        <v>1.575</v>
      </c>
      <c r="T18" s="30">
        <f>R18*24</f>
        <v>37.8</v>
      </c>
    </row>
    <row r="19" spans="1:20" ht="17.25" customHeight="1">
      <c r="A19" s="1"/>
      <c r="B19" s="71">
        <f t="shared" si="4"/>
        <v>42382</v>
      </c>
      <c r="C19" s="45">
        <f t="shared" si="1"/>
        <v>42382</v>
      </c>
      <c r="D19" s="22"/>
      <c r="E19" s="69"/>
      <c r="F19" s="53"/>
      <c r="G19" s="53"/>
      <c r="H19" s="53"/>
      <c r="I19" s="23"/>
      <c r="J19" s="46">
        <f t="shared" si="2"/>
        <v>0</v>
      </c>
      <c r="K19" s="46">
        <f t="shared" si="3"/>
        <v>0.315</v>
      </c>
      <c r="L19" s="46">
        <f>IF(J19=0,0,MAX(0,Ueberzeit+SUM($J$7:J19)-SUM($K$7:K19)-Minuszeit))</f>
        <v>0</v>
      </c>
      <c r="M19" s="46">
        <f>IF(OR(J19=0,ISTEXT(J19)),0,MAX(0,Minuszeit+SUM($K$7:K19)-SUM($J$7:J19)-Ueberzeit))</f>
        <v>0</v>
      </c>
      <c r="N19" s="1"/>
      <c r="O19" s="46">
        <f ca="1" t="shared" si="5"/>
      </c>
      <c r="P19" s="28" t="s">
        <v>67</v>
      </c>
      <c r="Q19" s="28"/>
      <c r="R19" s="28">
        <f>WochenPensum/R17</f>
        <v>0.315</v>
      </c>
      <c r="T19" s="3">
        <f>TagesPensum*24</f>
        <v>7.5600000000000005</v>
      </c>
    </row>
    <row r="20" spans="1:21" ht="17.25" customHeight="1">
      <c r="A20" s="1"/>
      <c r="B20" s="71">
        <f t="shared" si="4"/>
        <v>42383</v>
      </c>
      <c r="C20" s="45">
        <f t="shared" si="1"/>
        <v>42383</v>
      </c>
      <c r="D20" s="22"/>
      <c r="E20" s="53"/>
      <c r="F20" s="53"/>
      <c r="G20" s="53"/>
      <c r="H20" s="53"/>
      <c r="I20" s="23"/>
      <c r="J20" s="46">
        <f t="shared" si="2"/>
        <v>0</v>
      </c>
      <c r="K20" s="46">
        <f t="shared" si="3"/>
        <v>0.315</v>
      </c>
      <c r="L20" s="46">
        <f>IF(J20=0,0,MAX(0,Ueberzeit+SUM($J$7:J20)-SUM($K$7:K20)-Minuszeit))</f>
        <v>0</v>
      </c>
      <c r="M20" s="46">
        <f>IF(OR(J20=0,ISTEXT(J20)),0,MAX(0,Minuszeit+SUM($K$7:K20)-SUM($J$7:J20)-Ueberzeit))</f>
        <v>0</v>
      </c>
      <c r="N20" s="1"/>
      <c r="O20" s="46">
        <f ca="1" t="shared" si="5"/>
      </c>
      <c r="P20" s="28" t="s">
        <v>64</v>
      </c>
      <c r="Q20" s="28"/>
      <c r="R20" s="3">
        <f>_XLL.NETTOARBEITSTAGE(MIN(B:B),MAX(B:B),Feiertage)</f>
        <v>20</v>
      </c>
      <c r="U20" s="51"/>
    </row>
    <row r="21" spans="1:21" ht="17.25" customHeight="1">
      <c r="A21" s="1"/>
      <c r="B21" s="71">
        <f t="shared" si="4"/>
        <v>42384</v>
      </c>
      <c r="C21" s="45">
        <f t="shared" si="1"/>
        <v>42384</v>
      </c>
      <c r="D21" s="22"/>
      <c r="E21" s="53"/>
      <c r="F21" s="53"/>
      <c r="G21" s="53"/>
      <c r="H21" s="53"/>
      <c r="I21" s="23"/>
      <c r="J21" s="46">
        <f t="shared" si="2"/>
        <v>0</v>
      </c>
      <c r="K21" s="46">
        <f t="shared" si="3"/>
        <v>0.315</v>
      </c>
      <c r="L21" s="46">
        <f>IF(J21=0,0,MAX(0,Ueberzeit+SUM($J$7:J21)-SUM($K$7:K21)-Minuszeit))</f>
        <v>0</v>
      </c>
      <c r="M21" s="46">
        <f>IF(OR(J21=0,ISTEXT(J21)),0,MAX(0,Minuszeit+SUM($K$7:K21)-SUM($J$7:J21)-Ueberzeit))</f>
        <v>0</v>
      </c>
      <c r="N21" s="1"/>
      <c r="O21" s="46">
        <f ca="1" t="shared" si="5"/>
      </c>
      <c r="P21" s="28" t="s">
        <v>66</v>
      </c>
      <c r="R21" s="51">
        <f>TagesPensum*R20</f>
        <v>6.3</v>
      </c>
      <c r="T21" s="3">
        <f>MonatsPensum*24</f>
        <v>151.2</v>
      </c>
      <c r="U21" s="51"/>
    </row>
    <row r="22" spans="1:18" ht="17.25" customHeight="1">
      <c r="A22" s="1"/>
      <c r="B22" s="71">
        <f t="shared" si="4"/>
        <v>42385</v>
      </c>
      <c r="C22" s="45">
        <f t="shared" si="1"/>
        <v>42385</v>
      </c>
      <c r="D22" s="22"/>
      <c r="E22" s="53"/>
      <c r="F22" s="53"/>
      <c r="G22" s="53"/>
      <c r="H22" s="53"/>
      <c r="I22" s="23"/>
      <c r="J22" s="46">
        <f t="shared" si="2"/>
        <v>0</v>
      </c>
      <c r="K22" s="46">
        <f t="shared" si="3"/>
        <v>0</v>
      </c>
      <c r="L22" s="46">
        <f>IF(J22=0,0,MAX(0,Ueberzeit+SUM($J$7:J22)-SUM($K$7:K22)-Minuszeit))</f>
        <v>0</v>
      </c>
      <c r="M22" s="46">
        <f>IF(OR(J22=0,ISTEXT(J22)),0,MAX(0,Minuszeit+SUM($K$7:K22)-SUM($J$7:J22)-Ueberzeit))</f>
        <v>0</v>
      </c>
      <c r="N22" s="1"/>
      <c r="O22" s="46">
        <f ca="1" t="shared" si="5"/>
        <v>0</v>
      </c>
      <c r="P22" s="28"/>
      <c r="R22" s="50"/>
    </row>
    <row r="23" spans="1:21" ht="17.25" customHeight="1" thickBot="1">
      <c r="A23" s="1"/>
      <c r="B23" s="71">
        <f t="shared" si="4"/>
        <v>42386</v>
      </c>
      <c r="C23" s="45">
        <f t="shared" si="1"/>
        <v>42386</v>
      </c>
      <c r="D23" s="22"/>
      <c r="E23" s="53"/>
      <c r="F23" s="53"/>
      <c r="G23" s="53"/>
      <c r="H23" s="53"/>
      <c r="I23" s="23"/>
      <c r="J23" s="46">
        <f t="shared" si="2"/>
        <v>0</v>
      </c>
      <c r="K23" s="46">
        <f t="shared" si="3"/>
        <v>0</v>
      </c>
      <c r="L23" s="46">
        <f>IF(J23=0,0,MAX(0,Ueberzeit+SUM($J$7:J23)-SUM($K$7:K23)-Minuszeit))</f>
        <v>0</v>
      </c>
      <c r="M23" s="46">
        <f>IF(OR(J23=0,ISTEXT(J23)),0,MAX(0,Minuszeit+SUM($K$7:K23)-SUM($J$7:J23)-Ueberzeit))</f>
        <v>0</v>
      </c>
      <c r="N23" s="1"/>
      <c r="O23" s="46">
        <f ca="1" t="shared" si="5"/>
      </c>
      <c r="U23" s="28"/>
    </row>
    <row r="24" spans="1:19" ht="17.25" customHeight="1">
      <c r="A24" s="1"/>
      <c r="B24" s="71">
        <f t="shared" si="4"/>
        <v>42387</v>
      </c>
      <c r="C24" s="45">
        <f t="shared" si="1"/>
        <v>42387</v>
      </c>
      <c r="D24" s="22"/>
      <c r="E24" s="53"/>
      <c r="F24" s="53"/>
      <c r="G24" s="53"/>
      <c r="H24" s="53"/>
      <c r="I24" s="23"/>
      <c r="J24" s="46">
        <f t="shared" si="2"/>
        <v>0</v>
      </c>
      <c r="K24" s="46">
        <f t="shared" si="3"/>
        <v>0.315</v>
      </c>
      <c r="L24" s="46">
        <f>IF(J24=0,0,MAX(0,Ueberzeit+SUM($J$7:J24)-SUM($K$7:K24)-Minuszeit))</f>
        <v>0</v>
      </c>
      <c r="M24" s="46">
        <f>IF(OR(J24=0,ISTEXT(J24)),0,MAX(0,Minuszeit+SUM($K$7:K24)-SUM($J$7:J24)-Ueberzeit))</f>
        <v>0</v>
      </c>
      <c r="N24" s="1"/>
      <c r="O24" s="46">
        <f ca="1" t="shared" si="5"/>
      </c>
      <c r="P24" s="57" t="s">
        <v>70</v>
      </c>
      <c r="Q24" s="58"/>
      <c r="R24" s="54" t="s">
        <v>69</v>
      </c>
      <c r="S24" s="55" t="s">
        <v>71</v>
      </c>
    </row>
    <row r="25" spans="1:19" ht="17.25" customHeight="1">
      <c r="A25" s="1"/>
      <c r="B25" s="71">
        <f t="shared" si="4"/>
        <v>42388</v>
      </c>
      <c r="C25" s="45">
        <f t="shared" si="1"/>
        <v>42388</v>
      </c>
      <c r="D25" s="22"/>
      <c r="E25" s="53"/>
      <c r="F25" s="53"/>
      <c r="G25" s="53"/>
      <c r="H25" s="53"/>
      <c r="I25" s="23"/>
      <c r="J25" s="46">
        <f t="shared" si="2"/>
        <v>0</v>
      </c>
      <c r="K25" s="46">
        <f t="shared" si="3"/>
        <v>0.315</v>
      </c>
      <c r="L25" s="46">
        <f>IF(J25=0,0,MAX(0,Ueberzeit+SUM($J$7:J25)-SUM($K$7:K25)-Minuszeit))</f>
        <v>0</v>
      </c>
      <c r="M25" s="46">
        <f>IF(OR(J25=0,ISTEXT(J25)),0,MAX(0,Minuszeit+SUM($K$7:K25)-SUM($J$7:J25)-Ueberzeit))</f>
        <v>0</v>
      </c>
      <c r="N25" s="1"/>
      <c r="O25" s="46">
        <f ca="1" t="shared" si="5"/>
      </c>
      <c r="P25" s="59" t="s">
        <v>72</v>
      </c>
      <c r="Q25" s="60"/>
      <c r="R25" s="65">
        <v>20</v>
      </c>
      <c r="S25" s="61">
        <f>R25*TagesPensum</f>
        <v>6.3</v>
      </c>
    </row>
    <row r="26" spans="1:19" ht="17.25" customHeight="1">
      <c r="A26" s="1"/>
      <c r="B26" s="71">
        <f t="shared" si="4"/>
        <v>42389</v>
      </c>
      <c r="C26" s="45">
        <f t="shared" si="1"/>
        <v>42389</v>
      </c>
      <c r="D26" s="22"/>
      <c r="E26" s="53"/>
      <c r="F26" s="53"/>
      <c r="G26" s="53"/>
      <c r="H26" s="53"/>
      <c r="I26" s="23"/>
      <c r="J26" s="46">
        <f t="shared" si="2"/>
        <v>0</v>
      </c>
      <c r="K26" s="46">
        <f t="shared" si="3"/>
        <v>0.315</v>
      </c>
      <c r="L26" s="46">
        <f>IF(J26=0,0,MAX(0,Ueberzeit+SUM($J$7:J26)-SUM($K$7:K26)-Minuszeit))</f>
        <v>0</v>
      </c>
      <c r="M26" s="46">
        <f>IF(OR(J26=0,ISTEXT(J26)),0,MAX(0,Minuszeit+SUM($K$7:K26)-SUM($J$7:J26)-Ueberzeit))</f>
        <v>0</v>
      </c>
      <c r="N26" s="1"/>
      <c r="O26" s="46">
        <f ca="1" t="shared" si="5"/>
      </c>
      <c r="P26" s="59" t="s">
        <v>73</v>
      </c>
      <c r="Q26" s="60"/>
      <c r="R26" s="65">
        <f>COUNTIF($E$7:$E$37,"U")</f>
        <v>0</v>
      </c>
      <c r="S26" s="61">
        <f>R26*TagesPensum</f>
        <v>0</v>
      </c>
    </row>
    <row r="27" spans="1:19" ht="17.25" customHeight="1" thickBot="1">
      <c r="A27" s="1"/>
      <c r="B27" s="71">
        <f t="shared" si="4"/>
        <v>42390</v>
      </c>
      <c r="C27" s="45">
        <f t="shared" si="1"/>
        <v>42390</v>
      </c>
      <c r="D27" s="22"/>
      <c r="E27" s="53"/>
      <c r="F27" s="53"/>
      <c r="G27" s="53"/>
      <c r="H27" s="53"/>
      <c r="I27" s="23"/>
      <c r="J27" s="46">
        <f t="shared" si="2"/>
        <v>0</v>
      </c>
      <c r="K27" s="46">
        <f t="shared" si="3"/>
        <v>0.315</v>
      </c>
      <c r="L27" s="46">
        <f>IF(J27=0,0,MAX(0,Ueberzeit+SUM($J$7:J27)-SUM($K$7:K27)-Minuszeit))</f>
        <v>0</v>
      </c>
      <c r="M27" s="46">
        <f>IF(OR(J27=0,ISTEXT(J27)),0,MAX(0,Minuszeit+SUM($K$7:K27)-SUM($J$7:J27)-Ueberzeit))</f>
        <v>0</v>
      </c>
      <c r="N27" s="1"/>
      <c r="O27" s="46">
        <f ca="1" t="shared" si="5"/>
      </c>
      <c r="P27" s="62" t="s">
        <v>74</v>
      </c>
      <c r="Q27" s="63"/>
      <c r="R27" s="56">
        <f>R25-R26</f>
        <v>20</v>
      </c>
      <c r="S27" s="64">
        <f>R27*TagesPensum</f>
        <v>6.3</v>
      </c>
    </row>
    <row r="28" spans="1:17" ht="17.25" customHeight="1" thickBot="1">
      <c r="A28" s="1"/>
      <c r="B28" s="71">
        <f t="shared" si="4"/>
        <v>42391</v>
      </c>
      <c r="C28" s="45">
        <f t="shared" si="1"/>
        <v>42391</v>
      </c>
      <c r="D28" s="22"/>
      <c r="E28" s="53"/>
      <c r="F28" s="53"/>
      <c r="G28" s="53"/>
      <c r="H28" s="53"/>
      <c r="I28" s="23"/>
      <c r="J28" s="46">
        <f t="shared" si="2"/>
        <v>0</v>
      </c>
      <c r="K28" s="46">
        <f t="shared" si="3"/>
        <v>0.315</v>
      </c>
      <c r="L28" s="46">
        <f>IF(J28=0,0,MAX(0,Ueberzeit+SUM($J$7:J28)-SUM($K$7:K28)-Minuszeit))</f>
        <v>0</v>
      </c>
      <c r="M28" s="46">
        <f>IF(OR(J28=0,ISTEXT(J28)),0,MAX(0,Minuszeit+SUM($K$7:K28)-SUM($J$7:J28)-Ueberzeit))</f>
        <v>0</v>
      </c>
      <c r="N28" s="1"/>
      <c r="O28" s="46">
        <f ca="1" t="shared" si="5"/>
      </c>
      <c r="P28" s="28"/>
      <c r="Q28" s="28"/>
    </row>
    <row r="29" spans="1:20" ht="17.25" customHeight="1">
      <c r="A29" s="1"/>
      <c r="B29" s="71">
        <f t="shared" si="4"/>
        <v>42392</v>
      </c>
      <c r="C29" s="45">
        <f t="shared" si="1"/>
        <v>42392</v>
      </c>
      <c r="D29" s="22"/>
      <c r="E29" s="53"/>
      <c r="F29" s="53"/>
      <c r="G29" s="53"/>
      <c r="H29" s="53"/>
      <c r="I29" s="23"/>
      <c r="J29" s="46">
        <f t="shared" si="2"/>
        <v>0</v>
      </c>
      <c r="K29" s="46">
        <f t="shared" si="3"/>
        <v>0</v>
      </c>
      <c r="L29" s="46">
        <f>IF(J29=0,0,MAX(0,Ueberzeit+SUM($J$7:J29)-SUM($K$7:K29)-Minuszeit))</f>
        <v>0</v>
      </c>
      <c r="M29" s="46">
        <f>IF(OR(J29=0,ISTEXT(J29)),0,MAX(0,Minuszeit+SUM($K$7:K29)-SUM($J$7:J29)-Ueberzeit))</f>
        <v>0</v>
      </c>
      <c r="N29" s="1"/>
      <c r="O29" s="46">
        <f ca="1" t="shared" si="5"/>
        <v>0</v>
      </c>
      <c r="P29" s="57" t="s">
        <v>76</v>
      </c>
      <c r="Q29" s="58"/>
      <c r="R29" s="54" t="s">
        <v>69</v>
      </c>
      <c r="S29" s="55" t="s">
        <v>71</v>
      </c>
      <c r="T29" s="13"/>
    </row>
    <row r="30" spans="1:21" ht="17.25" customHeight="1" thickBot="1">
      <c r="A30" s="1"/>
      <c r="B30" s="71">
        <f t="shared" si="4"/>
        <v>42393</v>
      </c>
      <c r="C30" s="45">
        <f t="shared" si="1"/>
        <v>42393</v>
      </c>
      <c r="D30" s="22"/>
      <c r="E30" s="53"/>
      <c r="F30" s="53"/>
      <c r="G30" s="53"/>
      <c r="H30" s="53"/>
      <c r="I30" s="23"/>
      <c r="J30" s="46">
        <f t="shared" si="2"/>
        <v>0</v>
      </c>
      <c r="K30" s="46">
        <f t="shared" si="3"/>
        <v>0</v>
      </c>
      <c r="L30" s="46">
        <f>IF(J30=0,0,MAX(0,Ueberzeit+SUM($J$7:J30)-SUM($K$7:K30)-Minuszeit))</f>
        <v>0</v>
      </c>
      <c r="M30" s="46">
        <f>IF(OR(J30=0,ISTEXT(J30)),0,MAX(0,Minuszeit+SUM($K$7:K30)-SUM($J$7:J30)-Ueberzeit))</f>
        <v>0</v>
      </c>
      <c r="N30" s="1"/>
      <c r="O30" s="46">
        <f ca="1" t="shared" si="5"/>
      </c>
      <c r="P30" s="62"/>
      <c r="Q30" s="63"/>
      <c r="R30" s="56">
        <f>COUNTIF($E$7:$E$37,"K")</f>
        <v>0</v>
      </c>
      <c r="S30" s="64">
        <f>R30*TagesPensum</f>
        <v>0</v>
      </c>
      <c r="T30" s="13"/>
      <c r="U30" s="13"/>
    </row>
    <row r="31" spans="1:20" ht="17.25" customHeight="1">
      <c r="A31" s="1"/>
      <c r="B31" s="71">
        <f t="shared" si="4"/>
        <v>42394</v>
      </c>
      <c r="C31" s="45">
        <f t="shared" si="1"/>
        <v>42394</v>
      </c>
      <c r="D31" s="22"/>
      <c r="E31" s="53"/>
      <c r="F31" s="53"/>
      <c r="G31" s="53"/>
      <c r="H31" s="53"/>
      <c r="I31" s="23"/>
      <c r="J31" s="46">
        <f t="shared" si="2"/>
        <v>0</v>
      </c>
      <c r="K31" s="46">
        <f t="shared" si="3"/>
        <v>0.315</v>
      </c>
      <c r="L31" s="46">
        <f>IF(J31=0,0,MAX(0,Ueberzeit+SUM($J$7:J31)-SUM($K$7:K31)-Minuszeit))</f>
        <v>0</v>
      </c>
      <c r="M31" s="46">
        <f>IF(OR(J31=0,ISTEXT(J31)),0,MAX(0,Minuszeit+SUM($K$7:K31)-SUM($J$7:J31)-Ueberzeit))</f>
        <v>0</v>
      </c>
      <c r="N31" s="1"/>
      <c r="O31" s="46">
        <f ca="1" t="shared" si="5"/>
      </c>
      <c r="P31" s="28"/>
      <c r="Q31" s="28"/>
      <c r="T31" s="13"/>
    </row>
    <row r="32" spans="1:17" ht="17.25" customHeight="1">
      <c r="A32" s="1"/>
      <c r="B32" s="71">
        <f t="shared" si="4"/>
        <v>42395</v>
      </c>
      <c r="C32" s="45">
        <f t="shared" si="1"/>
        <v>42395</v>
      </c>
      <c r="D32" s="22"/>
      <c r="E32" s="53"/>
      <c r="F32" s="53"/>
      <c r="G32" s="53"/>
      <c r="H32" s="53"/>
      <c r="I32" s="23"/>
      <c r="J32" s="46">
        <f t="shared" si="2"/>
        <v>0</v>
      </c>
      <c r="K32" s="46">
        <f t="shared" si="3"/>
        <v>0.315</v>
      </c>
      <c r="L32" s="46">
        <f>IF(J32=0,0,MAX(0,Ueberzeit+SUM($J$7:J32)-SUM($K$7:K32)-Minuszeit))</f>
        <v>0</v>
      </c>
      <c r="M32" s="46">
        <f>IF(OR(J32=0,ISTEXT(J32)),0,MAX(0,Minuszeit+SUM($K$7:K32)-SUM($J$7:J32)-Ueberzeit))</f>
        <v>0</v>
      </c>
      <c r="N32" s="1"/>
      <c r="O32" s="46">
        <f ca="1" t="shared" si="5"/>
      </c>
      <c r="P32" s="28"/>
      <c r="Q32" s="28"/>
    </row>
    <row r="33" spans="1:17" ht="17.25" customHeight="1">
      <c r="A33" s="1"/>
      <c r="B33" s="71">
        <f t="shared" si="4"/>
        <v>42396</v>
      </c>
      <c r="C33" s="45">
        <f t="shared" si="1"/>
        <v>42396</v>
      </c>
      <c r="D33" s="22"/>
      <c r="E33" s="53"/>
      <c r="F33" s="53"/>
      <c r="G33" s="53"/>
      <c r="H33" s="53"/>
      <c r="I33" s="23"/>
      <c r="J33" s="46">
        <f t="shared" si="2"/>
        <v>0</v>
      </c>
      <c r="K33" s="46">
        <f t="shared" si="3"/>
        <v>0.315</v>
      </c>
      <c r="L33" s="46">
        <f>IF(J33=0,0,MAX(0,Ueberzeit+SUM($J$7:J33)-SUM($K$7:K33)-Minuszeit))</f>
        <v>0</v>
      </c>
      <c r="M33" s="46">
        <f>IF(OR(J33=0,ISTEXT(J33)),0,MAX(0,Minuszeit+SUM($K$7:K33)-SUM($J$7:J33)-Ueberzeit))</f>
        <v>0</v>
      </c>
      <c r="N33" s="1"/>
      <c r="O33" s="46">
        <f ca="1" t="shared" si="5"/>
      </c>
      <c r="P33" s="28"/>
      <c r="Q33" s="28"/>
    </row>
    <row r="34" spans="1:17" ht="17.25" customHeight="1">
      <c r="A34" s="1"/>
      <c r="B34" s="71">
        <f t="shared" si="4"/>
        <v>42397</v>
      </c>
      <c r="C34" s="45">
        <f t="shared" si="1"/>
        <v>42397</v>
      </c>
      <c r="D34" s="22"/>
      <c r="E34" s="53"/>
      <c r="F34" s="53"/>
      <c r="G34" s="53"/>
      <c r="H34" s="53"/>
      <c r="I34" s="23"/>
      <c r="J34" s="46">
        <f t="shared" si="2"/>
        <v>0</v>
      </c>
      <c r="K34" s="46">
        <f t="shared" si="3"/>
        <v>0.315</v>
      </c>
      <c r="L34" s="46">
        <f>IF(J34=0,0,MAX(0,Ueberzeit+SUM($J$7:J34)-SUM($K$7:K34)-Minuszeit))</f>
        <v>0</v>
      </c>
      <c r="M34" s="46">
        <f>IF(OR(J34=0,ISTEXT(J34)),0,MAX(0,Minuszeit+SUM($K$7:K34)-SUM($J$7:J34)-Ueberzeit))</f>
        <v>0</v>
      </c>
      <c r="N34" s="1"/>
      <c r="O34" s="46">
        <f ca="1" t="shared" si="5"/>
      </c>
      <c r="P34" s="28"/>
      <c r="Q34" s="28"/>
    </row>
    <row r="35" spans="1:17" ht="17.25" customHeight="1">
      <c r="A35" s="1"/>
      <c r="B35" s="72">
        <f t="shared" si="4"/>
        <v>42398</v>
      </c>
      <c r="C35" s="21">
        <f t="shared" si="1"/>
        <v>42398</v>
      </c>
      <c r="D35" s="22"/>
      <c r="E35" s="53"/>
      <c r="F35" s="53"/>
      <c r="G35" s="53"/>
      <c r="H35" s="53"/>
      <c r="I35" s="23"/>
      <c r="J35" s="46">
        <f t="shared" si="2"/>
        <v>0</v>
      </c>
      <c r="K35" s="46">
        <f t="shared" si="3"/>
        <v>0.315</v>
      </c>
      <c r="L35" s="46">
        <f>IF(J35=0,0,MAX(0,Ueberzeit+SUM($J$7:J35)-SUM($K$7:K35)-Minuszeit))</f>
        <v>0</v>
      </c>
      <c r="M35" s="46">
        <f>IF(OR(J35=0,ISTEXT(J35)),0,MAX(0,Minuszeit+SUM($K$7:K35)-SUM($J$7:J35)-Ueberzeit))</f>
        <v>0</v>
      </c>
      <c r="N35" s="1"/>
      <c r="O35" s="46">
        <f ca="1" t="shared" si="5"/>
      </c>
      <c r="P35" s="28"/>
      <c r="Q35" s="28"/>
    </row>
    <row r="36" spans="1:16" ht="17.25" customHeight="1">
      <c r="A36" s="1"/>
      <c r="B36" s="72">
        <f t="shared" si="4"/>
        <v>42399</v>
      </c>
      <c r="C36" s="21">
        <f t="shared" si="1"/>
        <v>42399</v>
      </c>
      <c r="D36" s="22"/>
      <c r="E36" s="53"/>
      <c r="F36" s="53"/>
      <c r="G36" s="53"/>
      <c r="H36" s="53"/>
      <c r="I36" s="23"/>
      <c r="J36" s="46">
        <f t="shared" si="2"/>
        <v>0</v>
      </c>
      <c r="K36" s="46">
        <f t="shared" si="3"/>
        <v>0</v>
      </c>
      <c r="L36" s="46">
        <f>IF(J36=0,0,MAX(0,Ueberzeit+SUM($J$7:J36)-SUM($K$7:K36)-Minuszeit))</f>
        <v>0</v>
      </c>
      <c r="M36" s="46">
        <f>IF(OR(J36=0,ISTEXT(J36)),0,MAX(0,Minuszeit+SUM($K$7:K36)-SUM($J$7:J36)-Ueberzeit))</f>
        <v>0</v>
      </c>
      <c r="N36" s="1"/>
      <c r="O36" s="46">
        <f ca="1" t="shared" si="5"/>
        <v>0</v>
      </c>
      <c r="P36" s="26"/>
    </row>
    <row r="37" spans="1:17" ht="17.25" customHeight="1">
      <c r="A37" s="1"/>
      <c r="B37" s="72">
        <f t="shared" si="4"/>
        <v>42400</v>
      </c>
      <c r="C37" s="21">
        <f t="shared" si="1"/>
        <v>42400</v>
      </c>
      <c r="D37" s="22"/>
      <c r="E37" s="53"/>
      <c r="F37" s="53"/>
      <c r="G37" s="53"/>
      <c r="H37" s="53"/>
      <c r="I37" s="23"/>
      <c r="J37" s="46">
        <f t="shared" si="2"/>
        <v>0</v>
      </c>
      <c r="K37" s="46">
        <f t="shared" si="3"/>
        <v>0</v>
      </c>
      <c r="L37" s="46">
        <f>IF(J37=0,0,MAX(0,Ueberzeit+SUM($J$7:J37)-SUM($K$7:K37)-Minuszeit))</f>
        <v>0</v>
      </c>
      <c r="M37" s="46">
        <f>IF(OR(J37=0,ISTEXT(J37)),0,MAX(0,Minuszeit+SUM($K$7:K37)-SUM($J$7:J37)-Ueberzeit))</f>
        <v>0</v>
      </c>
      <c r="N37" s="1"/>
      <c r="O37" s="46">
        <f ca="1" t="shared" si="5"/>
      </c>
      <c r="Q37" s="8"/>
    </row>
    <row r="38" spans="1:16" ht="17.25" customHeight="1">
      <c r="A38" s="1"/>
      <c r="B38" s="1"/>
      <c r="C38" s="1"/>
      <c r="D38" s="1"/>
      <c r="E38" s="2"/>
      <c r="F38" s="2"/>
      <c r="G38" s="2"/>
      <c r="H38" s="2"/>
      <c r="I38" s="2"/>
      <c r="J38" s="2"/>
      <c r="K38" s="1"/>
      <c r="L38" s="2"/>
      <c r="M38" s="2"/>
      <c r="N38" s="1"/>
      <c r="O38" s="46">
        <f ca="1" t="shared" si="5"/>
        <v>0</v>
      </c>
      <c r="P38" s="26"/>
    </row>
    <row r="39" spans="1:16" ht="17.25" customHeight="1">
      <c r="A39" s="7"/>
      <c r="B39" s="24">
        <f>B7</f>
        <v>42370</v>
      </c>
      <c r="C39" s="25" t="s">
        <v>5</v>
      </c>
      <c r="D39" s="7"/>
      <c r="E39" s="11"/>
      <c r="F39" s="11"/>
      <c r="G39" s="11"/>
      <c r="H39" s="11"/>
      <c r="I39" s="11"/>
      <c r="J39" s="26">
        <f>SUM(J7:J37)</f>
        <v>0</v>
      </c>
      <c r="K39" s="26">
        <f>SUM(K7:K37)</f>
        <v>6.3000000000000025</v>
      </c>
      <c r="L39" s="1"/>
      <c r="M39" s="1"/>
      <c r="N39" s="7"/>
      <c r="O39" s="8"/>
      <c r="P39" s="26"/>
    </row>
    <row r="40" spans="1:14" ht="19.5" customHeight="1">
      <c r="A40" s="1"/>
      <c r="B40" s="1"/>
      <c r="C40" s="1"/>
      <c r="D40" s="1"/>
      <c r="E40" s="2"/>
      <c r="F40" s="27" t="s">
        <v>23</v>
      </c>
      <c r="G40" s="34">
        <v>0</v>
      </c>
      <c r="H40" s="23"/>
      <c r="I40" s="27" t="s">
        <v>12</v>
      </c>
      <c r="J40" s="1"/>
      <c r="K40" s="1"/>
      <c r="L40" s="26">
        <f>MAX(0,J39-K39+Ueberzeit-Minuszeit)</f>
        <v>0</v>
      </c>
      <c r="M40" s="2"/>
      <c r="N40" s="1"/>
    </row>
    <row r="41" spans="1:14" ht="17.25" customHeight="1">
      <c r="A41" s="1"/>
      <c r="B41" s="1"/>
      <c r="C41" s="1"/>
      <c r="D41" s="1"/>
      <c r="E41" s="2"/>
      <c r="F41" s="27" t="s">
        <v>23</v>
      </c>
      <c r="G41" s="34">
        <v>0</v>
      </c>
      <c r="H41" s="23"/>
      <c r="I41" s="27" t="s">
        <v>13</v>
      </c>
      <c r="J41" s="17"/>
      <c r="K41" s="1"/>
      <c r="L41" s="2"/>
      <c r="M41" s="26">
        <f>MAX(0,K39-J39+Minuszeit-Ueberzeit)</f>
        <v>6.3000000000000025</v>
      </c>
      <c r="N41" s="1"/>
    </row>
    <row r="42" spans="1:14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1:13" ht="12.75">
      <c r="K44" s="13"/>
      <c r="M44" s="16"/>
    </row>
  </sheetData>
  <sheetProtection selectLockedCells="1"/>
  <mergeCells count="2">
    <mergeCell ref="J2:M2"/>
    <mergeCell ref="B2:C2"/>
  </mergeCells>
  <conditionalFormatting sqref="B7:C34">
    <cfRule type="expression" priority="1" dxfId="3" stopIfTrue="1">
      <formula>WEEKDAY($B7,2)&gt;5</formula>
    </cfRule>
    <cfRule type="expression" priority="2" dxfId="2" stopIfTrue="1">
      <formula>ISNUMBER(VLOOKUP($B7,Feiertage,1,0))</formula>
    </cfRule>
  </conditionalFormatting>
  <conditionalFormatting sqref="B35:C37 E7:H37 J7:M37">
    <cfRule type="expression" priority="3" dxfId="4" stopIfTrue="1">
      <formula>$B7=""</formula>
    </cfRule>
    <cfRule type="expression" priority="4" dxfId="3" stopIfTrue="1">
      <formula>WEEKDAY($B7,2)&gt;5</formula>
    </cfRule>
    <cfRule type="expression" priority="5" dxfId="2" stopIfTrue="1">
      <formula>ISNUMBER(VLOOKUP($B7,Feiertage,1,0))</formula>
    </cfRule>
  </conditionalFormatting>
  <dataValidations count="3">
    <dataValidation errorStyle="warning" type="custom" allowBlank="1" showInputMessage="1" showErrorMessage="1" errorTitle="Arbeitsfreier Tag" error="Hier eingetragene Zeiten werden voll als Überzeit berechnet!" sqref="E7:H37">
      <formula1>VLOOKUP(WEEKDAY($B7,2),Arbeitszeit,2,0)&lt;&gt;0</formula1>
    </dataValidation>
    <dataValidation type="time" allowBlank="1" showInputMessage="1" showErrorMessage="1" sqref="R6:S12">
      <formula1>0</formula1>
      <formula2>0.9993055555555556</formula2>
    </dataValidation>
    <dataValidation type="decimal" allowBlank="1" showInputMessage="1" showErrorMessage="1" sqref="G41">
      <formula1>0</formula1>
      <formula2>40/24</formula2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3"/>
  <headerFooter alignWithMargins="0"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15" zoomScaleNormal="115" zoomScalePageLayoutView="0" workbookViewId="0" topLeftCell="A1">
      <selection activeCell="E10" sqref="E10"/>
    </sheetView>
  </sheetViews>
  <sheetFormatPr defaultColWidth="11.421875" defaultRowHeight="12.75"/>
  <cols>
    <col min="4" max="4" width="25.421875" style="0" bestFit="1" customWidth="1"/>
  </cols>
  <sheetData>
    <row r="1" spans="1:4" ht="15">
      <c r="A1" s="36" t="s">
        <v>27</v>
      </c>
      <c r="B1" s="37">
        <v>2016</v>
      </c>
      <c r="C1" s="38" t="s">
        <v>28</v>
      </c>
      <c r="D1" s="39" t="s">
        <v>29</v>
      </c>
    </row>
    <row r="2" spans="1:4" ht="12.75">
      <c r="A2" s="40">
        <f>DATEVALUE("01.01."&amp;$B$1)</f>
        <v>42370</v>
      </c>
      <c r="B2" s="49">
        <f>IF(C2="x",A2,0)</f>
        <v>42370</v>
      </c>
      <c r="C2" s="38" t="s">
        <v>30</v>
      </c>
      <c r="D2" s="41" t="s">
        <v>31</v>
      </c>
    </row>
    <row r="3" spans="1:4" ht="12.75">
      <c r="A3" s="40">
        <f>DATEVALUE("02.01."&amp;$B$1)</f>
        <v>42371</v>
      </c>
      <c r="B3" s="49">
        <f>IF(C3="x",A3,0)</f>
        <v>42371</v>
      </c>
      <c r="C3" s="38" t="s">
        <v>30</v>
      </c>
      <c r="D3" s="41" t="s">
        <v>65</v>
      </c>
    </row>
    <row r="4" spans="1:4" ht="12.75">
      <c r="A4" s="40">
        <f>DATEVALUE("06.01."&amp;$B$1)</f>
        <v>42375</v>
      </c>
      <c r="B4" s="49">
        <f aca="true" t="shared" si="0" ref="B4:B33">IF(C4="x",A4,0)</f>
        <v>0</v>
      </c>
      <c r="C4" s="38"/>
      <c r="D4" s="41" t="s">
        <v>32</v>
      </c>
    </row>
    <row r="5" spans="1:4" ht="12.75">
      <c r="A5" s="40">
        <f>A8-48</f>
        <v>42408</v>
      </c>
      <c r="B5" s="49">
        <f t="shared" si="0"/>
        <v>0</v>
      </c>
      <c r="C5" s="38"/>
      <c r="D5" s="41" t="s">
        <v>33</v>
      </c>
    </row>
    <row r="6" spans="1:4" ht="12.75">
      <c r="A6" s="40">
        <f>A8-2</f>
        <v>42454</v>
      </c>
      <c r="B6" s="49">
        <f t="shared" si="0"/>
        <v>42454</v>
      </c>
      <c r="C6" s="38" t="s">
        <v>30</v>
      </c>
      <c r="D6" s="41" t="s">
        <v>34</v>
      </c>
    </row>
    <row r="7" spans="1:4" ht="12.75">
      <c r="A7" s="40">
        <f>A8-1</f>
        <v>42455</v>
      </c>
      <c r="B7" s="49">
        <f t="shared" si="0"/>
        <v>42455</v>
      </c>
      <c r="C7" s="38" t="s">
        <v>30</v>
      </c>
      <c r="D7" s="41" t="s">
        <v>35</v>
      </c>
    </row>
    <row r="8" spans="1:4" ht="12.75">
      <c r="A8" s="42">
        <f>DOLLAR((DAY(MINUTE($B$1/38)/2+55)&amp;".4."&amp;$B$1)/7,)*7-IF(YEAR(1)=1904,5,6)</f>
        <v>42456</v>
      </c>
      <c r="B8" s="49">
        <f t="shared" si="0"/>
        <v>42456</v>
      </c>
      <c r="C8" s="38" t="s">
        <v>30</v>
      </c>
      <c r="D8" s="41" t="s">
        <v>36</v>
      </c>
    </row>
    <row r="9" spans="1:4" ht="12.75">
      <c r="A9" s="42">
        <f>A8+1</f>
        <v>42457</v>
      </c>
      <c r="B9" s="49">
        <f t="shared" si="0"/>
        <v>42457</v>
      </c>
      <c r="C9" s="38" t="s">
        <v>30</v>
      </c>
      <c r="D9" s="41" t="s">
        <v>37</v>
      </c>
    </row>
    <row r="10" spans="1:4" ht="12.75">
      <c r="A10" s="40">
        <f>DATEVALUE("01.05."&amp;$B$1)</f>
        <v>42491</v>
      </c>
      <c r="B10" s="49">
        <f t="shared" si="0"/>
        <v>0</v>
      </c>
      <c r="C10" s="38"/>
      <c r="D10" s="41" t="s">
        <v>38</v>
      </c>
    </row>
    <row r="11" spans="1:4" ht="12.75">
      <c r="A11" s="40">
        <f>A8+39</f>
        <v>42495</v>
      </c>
      <c r="B11" s="49">
        <f t="shared" si="0"/>
        <v>42495</v>
      </c>
      <c r="C11" s="38" t="s">
        <v>30</v>
      </c>
      <c r="D11" s="41" t="s">
        <v>39</v>
      </c>
    </row>
    <row r="12" spans="1:4" ht="12.75">
      <c r="A12" s="40">
        <f>DATE($B$1,5,1)+15-WEEKDAY(DATE($B$1,5,1))</f>
        <v>42505</v>
      </c>
      <c r="B12" s="49">
        <f t="shared" si="0"/>
        <v>0</v>
      </c>
      <c r="C12" s="38"/>
      <c r="D12" s="41" t="s">
        <v>40</v>
      </c>
    </row>
    <row r="13" spans="1:4" ht="12.75">
      <c r="A13" s="40">
        <f>DATE($B$1,5,1)+14-WEEKDAY(DATE($B$1,5,1),2)-(7*(DATE($B$1,5,1)+14-WEEKDAY(DATE($B$1,5,1),2)=ROUND((DAY(MINUTE($B$1/38)/2+55)&amp;".4."&amp;$B$1)/7,)*7-6+49))</f>
        <v>42498</v>
      </c>
      <c r="B13" s="49">
        <f t="shared" si="0"/>
        <v>0</v>
      </c>
      <c r="C13" s="38"/>
      <c r="D13" s="41" t="s">
        <v>40</v>
      </c>
    </row>
    <row r="14" spans="1:4" ht="12.75">
      <c r="A14" s="40">
        <f>A8+48</f>
        <v>42504</v>
      </c>
      <c r="B14" s="49">
        <f t="shared" si="0"/>
        <v>42504</v>
      </c>
      <c r="C14" s="38" t="s">
        <v>30</v>
      </c>
      <c r="D14" s="41" t="s">
        <v>41</v>
      </c>
    </row>
    <row r="15" spans="1:4" ht="12.75">
      <c r="A15" s="40">
        <f>A8+49</f>
        <v>42505</v>
      </c>
      <c r="B15" s="49">
        <f t="shared" si="0"/>
        <v>42505</v>
      </c>
      <c r="C15" s="38" t="s">
        <v>30</v>
      </c>
      <c r="D15" s="41" t="s">
        <v>42</v>
      </c>
    </row>
    <row r="16" spans="1:4" ht="12.75">
      <c r="A16" s="40">
        <f>A8+50</f>
        <v>42506</v>
      </c>
      <c r="B16" s="49">
        <f t="shared" si="0"/>
        <v>42506</v>
      </c>
      <c r="C16" s="38" t="s">
        <v>30</v>
      </c>
      <c r="D16" s="41" t="s">
        <v>43</v>
      </c>
    </row>
    <row r="17" spans="1:4" ht="12.75">
      <c r="A17" s="40">
        <f>A8+60</f>
        <v>42516</v>
      </c>
      <c r="B17" s="49">
        <f t="shared" si="0"/>
        <v>0</v>
      </c>
      <c r="C17" s="38"/>
      <c r="D17" s="41" t="s">
        <v>44</v>
      </c>
    </row>
    <row r="18" spans="1:4" ht="12.75">
      <c r="A18" s="40">
        <f>DATEVALUE("01.08."&amp;$B$1)</f>
        <v>42583</v>
      </c>
      <c r="B18" s="49">
        <f t="shared" si="0"/>
        <v>42583</v>
      </c>
      <c r="C18" s="38" t="s">
        <v>30</v>
      </c>
      <c r="D18" s="41" t="s">
        <v>45</v>
      </c>
    </row>
    <row r="19" spans="1:4" ht="12.75">
      <c r="A19" s="40">
        <f>DATEVALUE("03.10."&amp;$B$1)</f>
        <v>42646</v>
      </c>
      <c r="B19" s="49">
        <f t="shared" si="0"/>
        <v>0</v>
      </c>
      <c r="C19" s="38"/>
      <c r="D19" s="41" t="s">
        <v>46</v>
      </c>
    </row>
    <row r="20" spans="1:4" ht="12.75">
      <c r="A20" s="40">
        <f>DATE($B$1,10,1)+7-WEEKDAY(DATE($B$1,10,1),2)</f>
        <v>42645</v>
      </c>
      <c r="B20" s="49">
        <f t="shared" si="0"/>
        <v>0</v>
      </c>
      <c r="C20" s="38"/>
      <c r="D20" s="41" t="s">
        <v>47</v>
      </c>
    </row>
    <row r="21" spans="1:18" ht="12.75">
      <c r="A21" s="40">
        <f>DATEVALUE("31.10."&amp;$B$1)</f>
        <v>42674</v>
      </c>
      <c r="B21" s="49">
        <f t="shared" si="0"/>
        <v>0</v>
      </c>
      <c r="C21" s="38"/>
      <c r="D21" s="41" t="s">
        <v>48</v>
      </c>
      <c r="R21" s="3"/>
    </row>
    <row r="22" spans="1:4" ht="12.75">
      <c r="A22" s="40">
        <f>DATEVALUE("01.11."&amp;$B$1)</f>
        <v>42675</v>
      </c>
      <c r="B22" s="49">
        <f t="shared" si="0"/>
        <v>0</v>
      </c>
      <c r="C22" s="38"/>
      <c r="D22" s="41" t="s">
        <v>49</v>
      </c>
    </row>
    <row r="23" spans="1:4" ht="12.75">
      <c r="A23" s="40">
        <f>DATE($B$1,12,25)-WEEKDAY(DATE($B$1,12,25),2)-35</f>
        <v>42687</v>
      </c>
      <c r="B23" s="49">
        <f t="shared" si="0"/>
        <v>0</v>
      </c>
      <c r="C23" s="38"/>
      <c r="D23" s="41" t="s">
        <v>50</v>
      </c>
    </row>
    <row r="24" spans="1:4" ht="12.75">
      <c r="A24" s="40">
        <f>DATE($B$1,12,25)-WEEKDAY(DATE($B$1,12,25),2)-32</f>
        <v>42690</v>
      </c>
      <c r="B24" s="49">
        <f t="shared" si="0"/>
        <v>0</v>
      </c>
      <c r="C24" s="38"/>
      <c r="D24" s="41" t="s">
        <v>51</v>
      </c>
    </row>
    <row r="25" spans="1:4" ht="12.75">
      <c r="A25" s="40">
        <f>DATE($B$1,12,25)-WEEKDAY(DATE($B$1,12,25),2)-28</f>
        <v>42694</v>
      </c>
      <c r="B25" s="49">
        <f t="shared" si="0"/>
        <v>0</v>
      </c>
      <c r="C25" s="38"/>
      <c r="D25" s="41" t="s">
        <v>52</v>
      </c>
    </row>
    <row r="26" spans="1:4" ht="12.75">
      <c r="A26" s="40">
        <f>DATE($B$1,12,25)-WEEKDAY(DATE($B$1,12,25),2)-21</f>
        <v>42701</v>
      </c>
      <c r="B26" s="49">
        <f t="shared" si="0"/>
        <v>0</v>
      </c>
      <c r="C26" s="38"/>
      <c r="D26" s="41" t="s">
        <v>53</v>
      </c>
    </row>
    <row r="27" spans="1:4" ht="12.75">
      <c r="A27" s="40">
        <f>DATE($B$1,12,25)-WEEKDAY(DATE($B$1,12,25),2)-14</f>
        <v>42708</v>
      </c>
      <c r="B27" s="49">
        <f t="shared" si="0"/>
        <v>0</v>
      </c>
      <c r="C27" s="38"/>
      <c r="D27" s="41" t="s">
        <v>54</v>
      </c>
    </row>
    <row r="28" spans="1:4" ht="12.75">
      <c r="A28" s="40">
        <f>DATE($B$1,12,25)-WEEKDAY(DATE($B$1,12,25),2)-7</f>
        <v>42715</v>
      </c>
      <c r="B28" s="49">
        <f t="shared" si="0"/>
        <v>0</v>
      </c>
      <c r="C28" s="38"/>
      <c r="D28" s="41" t="s">
        <v>55</v>
      </c>
    </row>
    <row r="29" spans="1:4" ht="12.75">
      <c r="A29" s="40">
        <f>DATE($B$1,12,25)-WEEKDAY(DATE($B$1,12,25),2)</f>
        <v>42722</v>
      </c>
      <c r="B29" s="49">
        <f t="shared" si="0"/>
        <v>0</v>
      </c>
      <c r="C29" s="38"/>
      <c r="D29" s="41" t="s">
        <v>56</v>
      </c>
    </row>
    <row r="30" spans="1:4" ht="12.75">
      <c r="A30" s="40">
        <f>DATEVALUE("24.12."&amp;$B$1)</f>
        <v>42728</v>
      </c>
      <c r="B30" s="49">
        <f t="shared" si="0"/>
        <v>0</v>
      </c>
      <c r="C30" s="38"/>
      <c r="D30" s="41" t="s">
        <v>57</v>
      </c>
    </row>
    <row r="31" spans="1:4" ht="12.75">
      <c r="A31" s="40">
        <f>DATEVALUE("25.12."&amp;$B$1)</f>
        <v>42729</v>
      </c>
      <c r="B31" s="49">
        <f t="shared" si="0"/>
        <v>42729</v>
      </c>
      <c r="C31" s="38" t="s">
        <v>30</v>
      </c>
      <c r="D31" s="41" t="s">
        <v>58</v>
      </c>
    </row>
    <row r="32" spans="1:4" ht="12.75">
      <c r="A32" s="40">
        <f>DATEVALUE("26.12."&amp;$B$1)</f>
        <v>42730</v>
      </c>
      <c r="B32" s="49">
        <f t="shared" si="0"/>
        <v>42730</v>
      </c>
      <c r="C32" s="38" t="s">
        <v>30</v>
      </c>
      <c r="D32" s="41" t="s">
        <v>59</v>
      </c>
    </row>
    <row r="33" spans="1:4" ht="12.75">
      <c r="A33" s="40">
        <f>DATEVALUE("31.12."&amp;$B$1)</f>
        <v>42735</v>
      </c>
      <c r="B33" s="49">
        <f t="shared" si="0"/>
        <v>42735</v>
      </c>
      <c r="C33" s="38" t="s">
        <v>30</v>
      </c>
      <c r="D33" s="41" t="s">
        <v>60</v>
      </c>
    </row>
  </sheetData>
  <sheetProtection/>
  <conditionalFormatting sqref="B2 B4:B33">
    <cfRule type="expression" priority="1" dxfId="0" stopIfTrue="1">
      <formula>AND(WEEKDAY($B2,2)&gt;5,B2&gt;0)</formula>
    </cfRule>
  </conditionalFormatting>
  <conditionalFormatting sqref="B3">
    <cfRule type="expression" priority="2" dxfId="0" stopIfTrue="1">
      <formula>AND(WEEKDAY($B3,2)&gt;5,B3&gt;0)</formula>
    </cfRule>
  </conditionalFormatting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3"/>
  <headerFooter alignWithMargins="0">
    <oddHeader>&amp;C&amp;"Arial,Fett"&amp;16&amp;A 2006</oddHeader>
    <oddFooter>&amp;L&amp;F/&amp;A&amp;CSeite &amp;P/&amp;N&amp;RGedruckt: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Sejla</cp:lastModifiedBy>
  <cp:lastPrinted>2015-01-13T21:12:13Z</cp:lastPrinted>
  <dcterms:created xsi:type="dcterms:W3CDTF">2001-06-01T15:35:45Z</dcterms:created>
  <dcterms:modified xsi:type="dcterms:W3CDTF">2015-12-14T10:31:49Z</dcterms:modified>
  <cp:category/>
  <cp:version/>
  <cp:contentType/>
  <cp:contentStatus/>
</cp:coreProperties>
</file>