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G:\Dropbox\Condivisi\OFFICE-LERNEN\Stundenzettel\"/>
    </mc:Choice>
  </mc:AlternateContent>
  <xr:revisionPtr revIDLastSave="0" documentId="10_ncr:100000_{740D5813-25D0-4B7A-9216-97FE65B96D21}" xr6:coauthVersionLast="31" xr6:coauthVersionMax="31" xr10:uidLastSave="{00000000-0000-0000-0000-000000000000}"/>
  <bookViews>
    <workbookView xWindow="0" yWindow="0" windowWidth="28800" windowHeight="11610" tabRatio="663" xr2:uid="{00000000-000D-0000-FFFF-FFFF00000000}"/>
  </bookViews>
  <sheets>
    <sheet name="Januar" sheetId="1" r:id="rId1"/>
    <sheet name="Februar" sheetId="3" r:id="rId2"/>
    <sheet name="März" sheetId="4" r:id="rId3"/>
    <sheet name="April" sheetId="5" r:id="rId4"/>
    <sheet name="Mai" sheetId="6" r:id="rId5"/>
    <sheet name="Juni" sheetId="7" r:id="rId6"/>
    <sheet name="Juli" sheetId="8" r:id="rId7"/>
    <sheet name="August" sheetId="9" r:id="rId8"/>
    <sheet name="September" sheetId="10" r:id="rId9"/>
    <sheet name="Oktober" sheetId="11" r:id="rId10"/>
    <sheet name="November" sheetId="12" r:id="rId11"/>
    <sheet name="Dezember" sheetId="13" r:id="rId12"/>
    <sheet name="Urlaub" sheetId="15" r:id="rId13"/>
    <sheet name="Feiertage" sheetId="14" r:id="rId14"/>
    <sheet name="Jahresübersicht" sheetId="16" r:id="rId15"/>
  </sheets>
  <externalReferences>
    <externalReference r:id="rId16"/>
  </externalReferences>
  <definedNames>
    <definedName name="_xlnm.Print_Area" localSheetId="0">Januar!$A$1:$N$38</definedName>
    <definedName name="Feiertage">[1]Feiertage!$B$2:$B$33</definedName>
    <definedName name="jjj">#REF!</definedName>
  </definedNames>
  <calcPr calcId="179017"/>
  <customWorkbookViews>
    <customWorkbookView name="test" guid="{4652D98A-10A8-4A41-BE02-6BC110D8BB01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3" l="1"/>
  <c r="B1" i="12"/>
  <c r="B1" i="11"/>
  <c r="B1" i="10"/>
  <c r="B1" i="9"/>
  <c r="B1" i="8"/>
  <c r="B1" i="7"/>
  <c r="B1" i="6"/>
  <c r="B1" i="5"/>
  <c r="B1" i="4"/>
  <c r="B1" i="3"/>
  <c r="B1" i="1"/>
  <c r="AM6" i="15" l="1"/>
  <c r="AM7" i="15"/>
  <c r="AM8" i="15"/>
  <c r="AM9" i="15"/>
  <c r="AM10" i="15"/>
  <c r="AM11" i="15"/>
  <c r="AM12" i="15"/>
  <c r="AM13" i="15"/>
  <c r="AM14" i="15"/>
  <c r="AM15" i="15"/>
  <c r="AM16" i="15"/>
  <c r="AL6" i="15"/>
  <c r="AL7" i="15"/>
  <c r="AL8" i="15"/>
  <c r="AL9" i="15"/>
  <c r="AL10" i="15"/>
  <c r="AL11" i="15"/>
  <c r="AL12" i="15"/>
  <c r="AL13" i="15"/>
  <c r="AL14" i="15"/>
  <c r="AL15" i="15"/>
  <c r="AL16" i="15"/>
  <c r="AK6" i="15"/>
  <c r="AK7" i="15"/>
  <c r="AK8" i="15"/>
  <c r="AK9" i="15"/>
  <c r="AK10" i="15"/>
  <c r="AK11" i="15"/>
  <c r="AK12" i="15"/>
  <c r="AK13" i="15"/>
  <c r="AK14" i="15"/>
  <c r="AK15" i="15"/>
  <c r="AK16" i="15"/>
  <c r="AJ6" i="15"/>
  <c r="AJ7" i="15"/>
  <c r="AJ8" i="15"/>
  <c r="AJ9" i="15"/>
  <c r="AJ10" i="15"/>
  <c r="AJ11" i="15"/>
  <c r="AJ12" i="15"/>
  <c r="AJ13" i="15"/>
  <c r="AJ14" i="15"/>
  <c r="AJ15" i="15"/>
  <c r="AJ16" i="15"/>
  <c r="AI6" i="15"/>
  <c r="AI7" i="15"/>
  <c r="AI8" i="15"/>
  <c r="AI9" i="15"/>
  <c r="AI10" i="15"/>
  <c r="AI11" i="15"/>
  <c r="AI12" i="15"/>
  <c r="AI13" i="15"/>
  <c r="AI14" i="15"/>
  <c r="AI15" i="15"/>
  <c r="AI16" i="15"/>
  <c r="AH6" i="15"/>
  <c r="AH7" i="15"/>
  <c r="AH8" i="15"/>
  <c r="AH9" i="15"/>
  <c r="AH10" i="15"/>
  <c r="AH11" i="15"/>
  <c r="AH12" i="15"/>
  <c r="AH13" i="15"/>
  <c r="AH14" i="15"/>
  <c r="AH15" i="15"/>
  <c r="AH16" i="15"/>
  <c r="AM5" i="15"/>
  <c r="AL5" i="15"/>
  <c r="AK5" i="15"/>
  <c r="AJ5" i="15"/>
  <c r="AI5" i="15"/>
  <c r="AH5" i="15"/>
  <c r="AZ35" i="13" l="1"/>
  <c r="BA35" i="13" s="1"/>
  <c r="AZ34" i="13"/>
  <c r="I34" i="13" s="1"/>
  <c r="AZ33" i="13"/>
  <c r="BA33" i="13" s="1"/>
  <c r="I33" i="13"/>
  <c r="BA32" i="13"/>
  <c r="AZ32" i="13"/>
  <c r="I32" i="13" s="1"/>
  <c r="AZ31" i="13"/>
  <c r="BA31" i="13" s="1"/>
  <c r="I31" i="13"/>
  <c r="AZ30" i="13"/>
  <c r="I30" i="13" s="1"/>
  <c r="AZ29" i="13"/>
  <c r="BA29" i="13" s="1"/>
  <c r="I29" i="13"/>
  <c r="AZ28" i="13"/>
  <c r="I28" i="13" s="1"/>
  <c r="AZ27" i="13"/>
  <c r="BA27" i="13" s="1"/>
  <c r="I27" i="13"/>
  <c r="AZ26" i="13"/>
  <c r="I26" i="13" s="1"/>
  <c r="AZ25" i="13"/>
  <c r="BA25" i="13" s="1"/>
  <c r="I25" i="13"/>
  <c r="AZ24" i="13"/>
  <c r="I24" i="13" s="1"/>
  <c r="AZ23" i="13"/>
  <c r="BA23" i="13" s="1"/>
  <c r="I23" i="13"/>
  <c r="AZ22" i="13"/>
  <c r="I22" i="13" s="1"/>
  <c r="AZ21" i="13"/>
  <c r="BA21" i="13" s="1"/>
  <c r="I21" i="13"/>
  <c r="AZ20" i="13"/>
  <c r="I20" i="13" s="1"/>
  <c r="AZ19" i="13"/>
  <c r="BA19" i="13" s="1"/>
  <c r="I19" i="13"/>
  <c r="AZ18" i="13"/>
  <c r="I18" i="13" s="1"/>
  <c r="AZ17" i="13"/>
  <c r="BA17" i="13" s="1"/>
  <c r="I17" i="13"/>
  <c r="AZ16" i="13"/>
  <c r="I16" i="13" s="1"/>
  <c r="AZ15" i="13"/>
  <c r="BA15" i="13" s="1"/>
  <c r="I15" i="13"/>
  <c r="AZ14" i="13"/>
  <c r="I14" i="13" s="1"/>
  <c r="AZ13" i="13"/>
  <c r="BA13" i="13" s="1"/>
  <c r="Q13" i="13"/>
  <c r="AZ12" i="13"/>
  <c r="BA12" i="13" s="1"/>
  <c r="I12" i="13"/>
  <c r="AZ11" i="13"/>
  <c r="I11" i="13" s="1"/>
  <c r="AZ10" i="13"/>
  <c r="BA10" i="13" s="1"/>
  <c r="I10" i="13"/>
  <c r="AZ9" i="13"/>
  <c r="I9" i="13" s="1"/>
  <c r="AZ8" i="13"/>
  <c r="BA8" i="13" s="1"/>
  <c r="I8" i="13"/>
  <c r="AZ7" i="13"/>
  <c r="BA7" i="13" s="1"/>
  <c r="BA6" i="13"/>
  <c r="AZ6" i="13"/>
  <c r="I6" i="13"/>
  <c r="AZ5" i="13"/>
  <c r="BA5" i="13" s="1"/>
  <c r="AZ35" i="12"/>
  <c r="BA35" i="12" s="1"/>
  <c r="BA34" i="12"/>
  <c r="AZ34" i="12"/>
  <c r="I34" i="12" s="1"/>
  <c r="AZ33" i="12"/>
  <c r="BA33" i="12" s="1"/>
  <c r="BA32" i="12"/>
  <c r="AZ32" i="12"/>
  <c r="I32" i="12" s="1"/>
  <c r="AZ31" i="12"/>
  <c r="BA31" i="12" s="1"/>
  <c r="BA30" i="12"/>
  <c r="AZ30" i="12"/>
  <c r="I30" i="12" s="1"/>
  <c r="AZ29" i="12"/>
  <c r="BA29" i="12" s="1"/>
  <c r="BA28" i="12"/>
  <c r="AZ28" i="12"/>
  <c r="I28" i="12" s="1"/>
  <c r="AZ27" i="12"/>
  <c r="BA27" i="12" s="1"/>
  <c r="BA26" i="12"/>
  <c r="AZ26" i="12"/>
  <c r="I26" i="12" s="1"/>
  <c r="AZ25" i="12"/>
  <c r="BA25" i="12" s="1"/>
  <c r="BA24" i="12"/>
  <c r="AZ24" i="12"/>
  <c r="I24" i="12" s="1"/>
  <c r="AZ23" i="12"/>
  <c r="BA23" i="12" s="1"/>
  <c r="BA22" i="12"/>
  <c r="AZ22" i="12"/>
  <c r="I22" i="12" s="1"/>
  <c r="AZ21" i="12"/>
  <c r="BA21" i="12" s="1"/>
  <c r="BA20" i="12"/>
  <c r="AZ20" i="12"/>
  <c r="I20" i="12" s="1"/>
  <c r="AZ19" i="12"/>
  <c r="BA19" i="12" s="1"/>
  <c r="BA18" i="12"/>
  <c r="AZ18" i="12"/>
  <c r="I18" i="12" s="1"/>
  <c r="AZ17" i="12"/>
  <c r="BA17" i="12" s="1"/>
  <c r="BA16" i="12"/>
  <c r="AZ16" i="12"/>
  <c r="I16" i="12" s="1"/>
  <c r="AZ15" i="12"/>
  <c r="BA15" i="12" s="1"/>
  <c r="BA14" i="12"/>
  <c r="AZ14" i="12"/>
  <c r="I14" i="12" s="1"/>
  <c r="AZ13" i="12"/>
  <c r="BA13" i="12" s="1"/>
  <c r="Q13" i="12"/>
  <c r="AZ12" i="12"/>
  <c r="BA12" i="12" s="1"/>
  <c r="BA11" i="12"/>
  <c r="AZ11" i="12"/>
  <c r="I11" i="12" s="1"/>
  <c r="AZ10" i="12"/>
  <c r="BA10" i="12" s="1"/>
  <c r="BA9" i="12"/>
  <c r="AZ9" i="12"/>
  <c r="I9" i="12" s="1"/>
  <c r="AZ8" i="12"/>
  <c r="BA8" i="12" s="1"/>
  <c r="BA7" i="12"/>
  <c r="AZ7" i="12"/>
  <c r="I7" i="12"/>
  <c r="AZ6" i="12"/>
  <c r="I6" i="12" s="1"/>
  <c r="BA5" i="12"/>
  <c r="AZ5" i="12"/>
  <c r="I5" i="12"/>
  <c r="U10" i="12"/>
  <c r="AZ35" i="11"/>
  <c r="BA35" i="11" s="1"/>
  <c r="AZ34" i="11"/>
  <c r="AZ33" i="11"/>
  <c r="BA33" i="11" s="1"/>
  <c r="I33" i="11"/>
  <c r="AZ32" i="11"/>
  <c r="AZ31" i="11"/>
  <c r="BA31" i="11" s="1"/>
  <c r="AZ30" i="11"/>
  <c r="AZ29" i="11"/>
  <c r="BA29" i="11" s="1"/>
  <c r="I29" i="11"/>
  <c r="AZ28" i="11"/>
  <c r="AZ27" i="11"/>
  <c r="BA27" i="11" s="1"/>
  <c r="AZ26" i="11"/>
  <c r="I26" i="11" s="1"/>
  <c r="AZ25" i="11"/>
  <c r="BA25" i="11" s="1"/>
  <c r="I25" i="11"/>
  <c r="AZ24" i="11"/>
  <c r="I24" i="11" s="1"/>
  <c r="AZ23" i="11"/>
  <c r="BA23" i="11" s="1"/>
  <c r="BA22" i="11"/>
  <c r="AZ22" i="11"/>
  <c r="I22" i="11" s="1"/>
  <c r="AZ21" i="11"/>
  <c r="BA21" i="11" s="1"/>
  <c r="I21" i="11"/>
  <c r="AZ20" i="11"/>
  <c r="I20" i="11" s="1"/>
  <c r="AZ19" i="11"/>
  <c r="BA19" i="11" s="1"/>
  <c r="AZ18" i="11"/>
  <c r="I18" i="11" s="1"/>
  <c r="AZ17" i="11"/>
  <c r="BA17" i="11" s="1"/>
  <c r="I17" i="11"/>
  <c r="BA16" i="11"/>
  <c r="AZ16" i="11"/>
  <c r="I16" i="11" s="1"/>
  <c r="AZ15" i="11"/>
  <c r="BA15" i="11" s="1"/>
  <c r="AZ14" i="11"/>
  <c r="I14" i="11" s="1"/>
  <c r="AZ13" i="11"/>
  <c r="BA13" i="11" s="1"/>
  <c r="Q13" i="11"/>
  <c r="AZ12" i="11"/>
  <c r="I12" i="11" s="1"/>
  <c r="BA11" i="11"/>
  <c r="AZ11" i="11"/>
  <c r="I11" i="11" s="1"/>
  <c r="AZ10" i="11"/>
  <c r="BA10" i="11" s="1"/>
  <c r="I10" i="11"/>
  <c r="BA9" i="11"/>
  <c r="AZ9" i="11"/>
  <c r="I9" i="11" s="1"/>
  <c r="AZ8" i="11"/>
  <c r="BA8" i="11" s="1"/>
  <c r="AZ7" i="11"/>
  <c r="BA7" i="11" s="1"/>
  <c r="I7" i="11"/>
  <c r="AZ6" i="11"/>
  <c r="BA6" i="11" s="1"/>
  <c r="BA5" i="11"/>
  <c r="AZ5" i="11"/>
  <c r="I5" i="11"/>
  <c r="U10" i="11"/>
  <c r="AZ35" i="10"/>
  <c r="BA35" i="10" s="1"/>
  <c r="BA34" i="10"/>
  <c r="AZ34" i="10"/>
  <c r="I34" i="10" s="1"/>
  <c r="AZ33" i="10"/>
  <c r="BA33" i="10" s="1"/>
  <c r="I33" i="10"/>
  <c r="BA32" i="10"/>
  <c r="AZ32" i="10"/>
  <c r="I32" i="10" s="1"/>
  <c r="AZ31" i="10"/>
  <c r="BA31" i="10" s="1"/>
  <c r="AZ30" i="10"/>
  <c r="I30" i="10" s="1"/>
  <c r="AZ29" i="10"/>
  <c r="BA29" i="10" s="1"/>
  <c r="BA28" i="10"/>
  <c r="AZ28" i="10"/>
  <c r="I28" i="10" s="1"/>
  <c r="AZ27" i="10"/>
  <c r="BA27" i="10" s="1"/>
  <c r="I27" i="10"/>
  <c r="BA26" i="10"/>
  <c r="AZ26" i="10"/>
  <c r="I26" i="10" s="1"/>
  <c r="AZ25" i="10"/>
  <c r="BA25" i="10" s="1"/>
  <c r="AZ24" i="10"/>
  <c r="I24" i="10" s="1"/>
  <c r="AZ23" i="10"/>
  <c r="BA23" i="10" s="1"/>
  <c r="BA22" i="10"/>
  <c r="AZ22" i="10"/>
  <c r="I22" i="10" s="1"/>
  <c r="AZ21" i="10"/>
  <c r="BA21" i="10" s="1"/>
  <c r="I21" i="10"/>
  <c r="BA20" i="10"/>
  <c r="AZ20" i="10"/>
  <c r="I20" i="10" s="1"/>
  <c r="AZ19" i="10"/>
  <c r="BA19" i="10" s="1"/>
  <c r="AZ18" i="10"/>
  <c r="I18" i="10" s="1"/>
  <c r="AZ17" i="10"/>
  <c r="BA17" i="10" s="1"/>
  <c r="BA16" i="10"/>
  <c r="AZ16" i="10"/>
  <c r="I16" i="10" s="1"/>
  <c r="AZ15" i="10"/>
  <c r="BA15" i="10" s="1"/>
  <c r="I15" i="10"/>
  <c r="BA14" i="10"/>
  <c r="AZ14" i="10"/>
  <c r="I14" i="10" s="1"/>
  <c r="AZ13" i="10"/>
  <c r="BA13" i="10" s="1"/>
  <c r="Q13" i="10"/>
  <c r="AZ12" i="10"/>
  <c r="BA12" i="10" s="1"/>
  <c r="AZ11" i="10"/>
  <c r="I11" i="10" s="1"/>
  <c r="AZ10" i="10"/>
  <c r="BA10" i="10" s="1"/>
  <c r="AZ9" i="10"/>
  <c r="I9" i="10" s="1"/>
  <c r="AZ8" i="10"/>
  <c r="BA8" i="10" s="1"/>
  <c r="I8" i="10"/>
  <c r="BA7" i="10"/>
  <c r="AZ7" i="10"/>
  <c r="I7" i="10" s="1"/>
  <c r="AZ6" i="10"/>
  <c r="BA6" i="10" s="1"/>
  <c r="I6" i="10"/>
  <c r="BA5" i="10"/>
  <c r="AZ5" i="10"/>
  <c r="I5" i="10" s="1"/>
  <c r="AZ35" i="9"/>
  <c r="BA35" i="9" s="1"/>
  <c r="I35" i="9"/>
  <c r="BA34" i="9"/>
  <c r="AZ34" i="9"/>
  <c r="I34" i="9" s="1"/>
  <c r="AZ33" i="9"/>
  <c r="BA33" i="9" s="1"/>
  <c r="AZ32" i="9"/>
  <c r="I32" i="9" s="1"/>
  <c r="AZ31" i="9"/>
  <c r="BA31" i="9" s="1"/>
  <c r="BA30" i="9"/>
  <c r="AZ30" i="9"/>
  <c r="I30" i="9" s="1"/>
  <c r="AZ29" i="9"/>
  <c r="BA29" i="9" s="1"/>
  <c r="I29" i="9"/>
  <c r="BA28" i="9"/>
  <c r="AZ28" i="9"/>
  <c r="I28" i="9" s="1"/>
  <c r="AZ27" i="9"/>
  <c r="BA27" i="9" s="1"/>
  <c r="AZ26" i="9"/>
  <c r="I26" i="9" s="1"/>
  <c r="AZ25" i="9"/>
  <c r="BA25" i="9" s="1"/>
  <c r="BA24" i="9"/>
  <c r="AZ24" i="9"/>
  <c r="I24" i="9" s="1"/>
  <c r="AZ23" i="9"/>
  <c r="BA23" i="9" s="1"/>
  <c r="I23" i="9"/>
  <c r="BA22" i="9"/>
  <c r="AZ22" i="9"/>
  <c r="I22" i="9" s="1"/>
  <c r="AZ21" i="9"/>
  <c r="BA21" i="9" s="1"/>
  <c r="AZ20" i="9"/>
  <c r="I20" i="9" s="1"/>
  <c r="AZ19" i="9"/>
  <c r="BA19" i="9" s="1"/>
  <c r="BA18" i="9"/>
  <c r="AZ18" i="9"/>
  <c r="I18" i="9" s="1"/>
  <c r="AZ17" i="9"/>
  <c r="BA17" i="9" s="1"/>
  <c r="I17" i="9"/>
  <c r="BA16" i="9"/>
  <c r="AZ16" i="9"/>
  <c r="I16" i="9" s="1"/>
  <c r="AZ15" i="9"/>
  <c r="BA15" i="9" s="1"/>
  <c r="I15" i="9"/>
  <c r="AZ14" i="9"/>
  <c r="I14" i="9" s="1"/>
  <c r="AZ13" i="9"/>
  <c r="BA13" i="9" s="1"/>
  <c r="Q13" i="9"/>
  <c r="AZ12" i="9"/>
  <c r="BA12" i="9" s="1"/>
  <c r="AZ11" i="9"/>
  <c r="I11" i="9" s="1"/>
  <c r="AZ10" i="9"/>
  <c r="BA10" i="9" s="1"/>
  <c r="AZ9" i="9"/>
  <c r="I9" i="9" s="1"/>
  <c r="AZ8" i="9"/>
  <c r="BA8" i="9" s="1"/>
  <c r="AZ7" i="9"/>
  <c r="BA7" i="9" s="1"/>
  <c r="I7" i="9"/>
  <c r="BA6" i="9"/>
  <c r="AZ6" i="9"/>
  <c r="I6" i="9" s="1"/>
  <c r="AZ5" i="9"/>
  <c r="BA5" i="9" s="1"/>
  <c r="I5" i="9"/>
  <c r="AZ35" i="8"/>
  <c r="BA35" i="8" s="1"/>
  <c r="AZ34" i="8"/>
  <c r="BA34" i="8" s="1"/>
  <c r="I34" i="8"/>
  <c r="AZ33" i="8"/>
  <c r="BA33" i="8" s="1"/>
  <c r="I33" i="8"/>
  <c r="BA32" i="8"/>
  <c r="AZ32" i="8"/>
  <c r="I32" i="8"/>
  <c r="AZ31" i="8"/>
  <c r="BA31" i="8" s="1"/>
  <c r="I31" i="8"/>
  <c r="BA30" i="8"/>
  <c r="AZ30" i="8"/>
  <c r="I30" i="8" s="1"/>
  <c r="AZ29" i="8"/>
  <c r="BA29" i="8" s="1"/>
  <c r="I29" i="8"/>
  <c r="AZ28" i="8"/>
  <c r="I28" i="8" s="1"/>
  <c r="AZ27" i="8"/>
  <c r="BA27" i="8" s="1"/>
  <c r="I27" i="8"/>
  <c r="AZ26" i="8"/>
  <c r="BA26" i="8" s="1"/>
  <c r="I26" i="8"/>
  <c r="AZ25" i="8"/>
  <c r="BA25" i="8" s="1"/>
  <c r="AZ24" i="8"/>
  <c r="BA24" i="8" s="1"/>
  <c r="I24" i="8"/>
  <c r="AZ23" i="8"/>
  <c r="BA23" i="8" s="1"/>
  <c r="AZ22" i="8"/>
  <c r="BA22" i="8" s="1"/>
  <c r="I22" i="8"/>
  <c r="AZ21" i="8"/>
  <c r="BA21" i="8" s="1"/>
  <c r="I21" i="8"/>
  <c r="BA20" i="8"/>
  <c r="AZ20" i="8"/>
  <c r="I20" i="8"/>
  <c r="AZ19" i="8"/>
  <c r="BA19" i="8" s="1"/>
  <c r="I19" i="8"/>
  <c r="BA18" i="8"/>
  <c r="AZ18" i="8"/>
  <c r="I18" i="8" s="1"/>
  <c r="AZ17" i="8"/>
  <c r="BA17" i="8" s="1"/>
  <c r="I17" i="8"/>
  <c r="AZ16" i="8"/>
  <c r="I16" i="8" s="1"/>
  <c r="AZ15" i="8"/>
  <c r="BA15" i="8" s="1"/>
  <c r="I15" i="8"/>
  <c r="AZ14" i="8"/>
  <c r="BA14" i="8" s="1"/>
  <c r="I14" i="8"/>
  <c r="AZ13" i="8"/>
  <c r="BA13" i="8" s="1"/>
  <c r="Q13" i="8"/>
  <c r="AZ12" i="8"/>
  <c r="BA12" i="8" s="1"/>
  <c r="I12" i="8"/>
  <c r="AZ11" i="8"/>
  <c r="BA10" i="8"/>
  <c r="AZ10" i="8"/>
  <c r="I10" i="8"/>
  <c r="AZ9" i="8"/>
  <c r="BA9" i="8" s="1"/>
  <c r="I9" i="8"/>
  <c r="AZ8" i="8"/>
  <c r="BA8" i="8" s="1"/>
  <c r="AZ7" i="8"/>
  <c r="BA7" i="8" s="1"/>
  <c r="I7" i="8"/>
  <c r="BA6" i="8"/>
  <c r="AZ6" i="8"/>
  <c r="I6" i="8" s="1"/>
  <c r="AZ5" i="8"/>
  <c r="BA5" i="8" s="1"/>
  <c r="AZ35" i="7"/>
  <c r="BA35" i="7" s="1"/>
  <c r="I35" i="7"/>
  <c r="BA34" i="7"/>
  <c r="AZ34" i="7"/>
  <c r="I34" i="7" s="1"/>
  <c r="AZ33" i="7"/>
  <c r="BA33" i="7" s="1"/>
  <c r="I33" i="7"/>
  <c r="AZ32" i="7"/>
  <c r="I32" i="7" s="1"/>
  <c r="AZ31" i="7"/>
  <c r="BA31" i="7" s="1"/>
  <c r="I31" i="7"/>
  <c r="AZ30" i="7"/>
  <c r="BA30" i="7" s="1"/>
  <c r="I30" i="7"/>
  <c r="AZ29" i="7"/>
  <c r="BA29" i="7" s="1"/>
  <c r="AZ28" i="7"/>
  <c r="BA28" i="7" s="1"/>
  <c r="I28" i="7"/>
  <c r="AZ27" i="7"/>
  <c r="BA27" i="7" s="1"/>
  <c r="AZ26" i="7"/>
  <c r="BA26" i="7" s="1"/>
  <c r="I26" i="7"/>
  <c r="AZ25" i="7"/>
  <c r="BA25" i="7" s="1"/>
  <c r="I25" i="7"/>
  <c r="BA24" i="7"/>
  <c r="AZ24" i="7"/>
  <c r="I24" i="7"/>
  <c r="AZ23" i="7"/>
  <c r="BA23" i="7" s="1"/>
  <c r="I23" i="7"/>
  <c r="BA22" i="7"/>
  <c r="AZ22" i="7"/>
  <c r="I22" i="7" s="1"/>
  <c r="AZ21" i="7"/>
  <c r="BA21" i="7" s="1"/>
  <c r="I21" i="7"/>
  <c r="AZ20" i="7"/>
  <c r="I20" i="7" s="1"/>
  <c r="AZ19" i="7"/>
  <c r="BA19" i="7" s="1"/>
  <c r="I19" i="7"/>
  <c r="AZ18" i="7"/>
  <c r="BA18" i="7" s="1"/>
  <c r="I18" i="7"/>
  <c r="AZ17" i="7"/>
  <c r="BA17" i="7" s="1"/>
  <c r="AZ16" i="7"/>
  <c r="BA16" i="7" s="1"/>
  <c r="I16" i="7"/>
  <c r="AZ15" i="7"/>
  <c r="BA15" i="7" s="1"/>
  <c r="AZ14" i="7"/>
  <c r="BA14" i="7" s="1"/>
  <c r="I14" i="7"/>
  <c r="AZ13" i="7"/>
  <c r="BA13" i="7" s="1"/>
  <c r="Q13" i="7"/>
  <c r="AZ12" i="7"/>
  <c r="BA12" i="7" s="1"/>
  <c r="AZ11" i="7"/>
  <c r="I11" i="7" s="1"/>
  <c r="AZ10" i="7"/>
  <c r="BA10" i="7" s="1"/>
  <c r="I10" i="7"/>
  <c r="BA9" i="7"/>
  <c r="AZ9" i="7"/>
  <c r="I9" i="7" s="1"/>
  <c r="AZ8" i="7"/>
  <c r="BA8" i="7" s="1"/>
  <c r="I8" i="7"/>
  <c r="AZ7" i="7"/>
  <c r="I7" i="7" s="1"/>
  <c r="AZ6" i="7"/>
  <c r="BA6" i="7" s="1"/>
  <c r="I6" i="7"/>
  <c r="AZ5" i="7"/>
  <c r="BA5" i="7" s="1"/>
  <c r="I5" i="7"/>
  <c r="AZ35" i="6"/>
  <c r="BA35" i="6" s="1"/>
  <c r="AZ34" i="6"/>
  <c r="I34" i="6" s="1"/>
  <c r="AZ33" i="6"/>
  <c r="BA33" i="6" s="1"/>
  <c r="I33" i="6"/>
  <c r="BA32" i="6"/>
  <c r="AZ32" i="6"/>
  <c r="I32" i="6" s="1"/>
  <c r="AZ31" i="6"/>
  <c r="BA31" i="6" s="1"/>
  <c r="I31" i="6"/>
  <c r="AZ30" i="6"/>
  <c r="I30" i="6" s="1"/>
  <c r="AZ29" i="6"/>
  <c r="BA29" i="6" s="1"/>
  <c r="AZ28" i="6"/>
  <c r="I28" i="6" s="1"/>
  <c r="AZ27" i="6"/>
  <c r="BA27" i="6" s="1"/>
  <c r="I27" i="6"/>
  <c r="BA26" i="6"/>
  <c r="AZ26" i="6"/>
  <c r="I26" i="6" s="1"/>
  <c r="AZ25" i="6"/>
  <c r="BA25" i="6" s="1"/>
  <c r="I25" i="6"/>
  <c r="AZ24" i="6"/>
  <c r="I24" i="6" s="1"/>
  <c r="AZ23" i="6"/>
  <c r="BA23" i="6" s="1"/>
  <c r="AZ22" i="6"/>
  <c r="I22" i="6" s="1"/>
  <c r="AZ21" i="6"/>
  <c r="BA21" i="6" s="1"/>
  <c r="I21" i="6"/>
  <c r="BA20" i="6"/>
  <c r="AZ20" i="6"/>
  <c r="I20" i="6" s="1"/>
  <c r="AZ19" i="6"/>
  <c r="BA19" i="6" s="1"/>
  <c r="I19" i="6"/>
  <c r="AZ18" i="6"/>
  <c r="I18" i="6" s="1"/>
  <c r="AZ17" i="6"/>
  <c r="BA17" i="6" s="1"/>
  <c r="AZ16" i="6"/>
  <c r="I16" i="6" s="1"/>
  <c r="AZ15" i="6"/>
  <c r="BA15" i="6" s="1"/>
  <c r="I15" i="6"/>
  <c r="BA14" i="6"/>
  <c r="AZ14" i="6"/>
  <c r="I14" i="6" s="1"/>
  <c r="AZ13" i="6"/>
  <c r="BA13" i="6" s="1"/>
  <c r="Q13" i="6"/>
  <c r="AZ12" i="6"/>
  <c r="BA12" i="6" s="1"/>
  <c r="I12" i="6"/>
  <c r="BA11" i="6"/>
  <c r="AZ11" i="6"/>
  <c r="I11" i="6" s="1"/>
  <c r="AZ10" i="6"/>
  <c r="BA10" i="6" s="1"/>
  <c r="I10" i="6"/>
  <c r="AZ9" i="6"/>
  <c r="I9" i="6" s="1"/>
  <c r="AZ8" i="6"/>
  <c r="BA8" i="6" s="1"/>
  <c r="AZ7" i="6"/>
  <c r="BA7" i="6" s="1"/>
  <c r="I7" i="6"/>
  <c r="BA6" i="6"/>
  <c r="AZ6" i="6"/>
  <c r="I6" i="6" s="1"/>
  <c r="AZ5" i="6"/>
  <c r="BA5" i="6" s="1"/>
  <c r="I5" i="6"/>
  <c r="BA35" i="5"/>
  <c r="AZ35" i="5"/>
  <c r="I35" i="5" s="1"/>
  <c r="AZ34" i="5"/>
  <c r="I34" i="5" s="1"/>
  <c r="AZ33" i="5"/>
  <c r="I33" i="5" s="1"/>
  <c r="AZ32" i="5"/>
  <c r="I32" i="5" s="1"/>
  <c r="BA31" i="5"/>
  <c r="AZ31" i="5"/>
  <c r="I31" i="5" s="1"/>
  <c r="AZ30" i="5"/>
  <c r="I30" i="5" s="1"/>
  <c r="AZ29" i="5"/>
  <c r="I29" i="5" s="1"/>
  <c r="AZ28" i="5"/>
  <c r="I28" i="5" s="1"/>
  <c r="BA27" i="5"/>
  <c r="AZ27" i="5"/>
  <c r="I27" i="5" s="1"/>
  <c r="AZ26" i="5"/>
  <c r="I26" i="5" s="1"/>
  <c r="AZ25" i="5"/>
  <c r="I25" i="5" s="1"/>
  <c r="AZ24" i="5"/>
  <c r="I24" i="5" s="1"/>
  <c r="BA23" i="5"/>
  <c r="AZ23" i="5"/>
  <c r="I23" i="5" s="1"/>
  <c r="AZ22" i="5"/>
  <c r="I22" i="5" s="1"/>
  <c r="AZ21" i="5"/>
  <c r="I21" i="5" s="1"/>
  <c r="AZ20" i="5"/>
  <c r="I20" i="5" s="1"/>
  <c r="BA19" i="5"/>
  <c r="AZ19" i="5"/>
  <c r="I19" i="5" s="1"/>
  <c r="AZ18" i="5"/>
  <c r="I18" i="5" s="1"/>
  <c r="AZ17" i="5"/>
  <c r="I17" i="5" s="1"/>
  <c r="AZ16" i="5"/>
  <c r="I16" i="5" s="1"/>
  <c r="BA15" i="5"/>
  <c r="AZ15" i="5"/>
  <c r="I15" i="5" s="1"/>
  <c r="AZ14" i="5"/>
  <c r="I14" i="5" s="1"/>
  <c r="AZ13" i="5"/>
  <c r="BA13" i="5" s="1"/>
  <c r="Q13" i="5"/>
  <c r="I13" i="5"/>
  <c r="BA12" i="5"/>
  <c r="AZ12" i="5"/>
  <c r="I12" i="5"/>
  <c r="AZ11" i="5"/>
  <c r="BA11" i="5" s="1"/>
  <c r="I11" i="5"/>
  <c r="BA10" i="5"/>
  <c r="AZ10" i="5"/>
  <c r="I10" i="5"/>
  <c r="AZ9" i="5"/>
  <c r="I9" i="5" s="1"/>
  <c r="AZ8" i="5"/>
  <c r="I8" i="5" s="1"/>
  <c r="AZ7" i="5"/>
  <c r="AZ6" i="5"/>
  <c r="BA6" i="5" s="1"/>
  <c r="AZ5" i="5"/>
  <c r="BA5" i="5" s="1"/>
  <c r="I5" i="5"/>
  <c r="AZ35" i="4"/>
  <c r="BA35" i="4" s="1"/>
  <c r="AZ34" i="4"/>
  <c r="AZ33" i="4"/>
  <c r="BA33" i="4" s="1"/>
  <c r="I33" i="4"/>
  <c r="AZ32" i="4"/>
  <c r="I32" i="4" s="1"/>
  <c r="AZ31" i="4"/>
  <c r="BA31" i="4" s="1"/>
  <c r="AZ30" i="4"/>
  <c r="I30" i="4" s="1"/>
  <c r="AZ29" i="4"/>
  <c r="BA29" i="4" s="1"/>
  <c r="AZ28" i="4"/>
  <c r="I28" i="4" s="1"/>
  <c r="AZ27" i="4"/>
  <c r="BA27" i="4" s="1"/>
  <c r="AZ26" i="4"/>
  <c r="I26" i="4" s="1"/>
  <c r="AZ25" i="4"/>
  <c r="BA25" i="4" s="1"/>
  <c r="AZ24" i="4"/>
  <c r="I24" i="4" s="1"/>
  <c r="AZ23" i="4"/>
  <c r="BA23" i="4" s="1"/>
  <c r="AZ22" i="4"/>
  <c r="I22" i="4" s="1"/>
  <c r="AZ21" i="4"/>
  <c r="BA21" i="4" s="1"/>
  <c r="AZ20" i="4"/>
  <c r="I20" i="4" s="1"/>
  <c r="AZ19" i="4"/>
  <c r="BA19" i="4" s="1"/>
  <c r="AZ18" i="4"/>
  <c r="I18" i="4" s="1"/>
  <c r="AZ17" i="4"/>
  <c r="BA17" i="4" s="1"/>
  <c r="AZ16" i="4"/>
  <c r="I16" i="4" s="1"/>
  <c r="AZ15" i="4"/>
  <c r="BA15" i="4" s="1"/>
  <c r="AZ14" i="4"/>
  <c r="I14" i="4" s="1"/>
  <c r="AZ13" i="4"/>
  <c r="Q13" i="4"/>
  <c r="AZ12" i="4"/>
  <c r="BA12" i="4" s="1"/>
  <c r="I12" i="4"/>
  <c r="BA11" i="4"/>
  <c r="AZ11" i="4"/>
  <c r="I11" i="4" s="1"/>
  <c r="AZ10" i="4"/>
  <c r="BA10" i="4" s="1"/>
  <c r="I10" i="4"/>
  <c r="AZ9" i="4"/>
  <c r="I9" i="4" s="1"/>
  <c r="AZ8" i="4"/>
  <c r="BA8" i="4" s="1"/>
  <c r="BA7" i="4"/>
  <c r="AZ7" i="4"/>
  <c r="I7" i="4"/>
  <c r="AZ6" i="4"/>
  <c r="BA6" i="4" s="1"/>
  <c r="I6" i="4"/>
  <c r="BA5" i="4"/>
  <c r="AZ5" i="4"/>
  <c r="I5" i="4"/>
  <c r="U5" i="4"/>
  <c r="AZ35" i="3"/>
  <c r="BA35" i="3" s="1"/>
  <c r="I35" i="3"/>
  <c r="BA34" i="3"/>
  <c r="AZ34" i="3"/>
  <c r="I34" i="3"/>
  <c r="AZ33" i="3"/>
  <c r="BA33" i="3" s="1"/>
  <c r="I33" i="3"/>
  <c r="BA32" i="3"/>
  <c r="AZ32" i="3"/>
  <c r="I32" i="3" s="1"/>
  <c r="AZ31" i="3"/>
  <c r="BA31" i="3" s="1"/>
  <c r="I31" i="3"/>
  <c r="AZ30" i="3"/>
  <c r="I30" i="3" s="1"/>
  <c r="AZ29" i="3"/>
  <c r="BA29" i="3" s="1"/>
  <c r="I29" i="3"/>
  <c r="AZ28" i="3"/>
  <c r="BA28" i="3" s="1"/>
  <c r="I28" i="3"/>
  <c r="AZ27" i="3"/>
  <c r="BA27" i="3" s="1"/>
  <c r="AZ26" i="3"/>
  <c r="BA26" i="3" s="1"/>
  <c r="I26" i="3"/>
  <c r="AZ25" i="3"/>
  <c r="BA25" i="3" s="1"/>
  <c r="AZ24" i="3"/>
  <c r="BA24" i="3" s="1"/>
  <c r="I24" i="3"/>
  <c r="AZ23" i="3"/>
  <c r="BA23" i="3" s="1"/>
  <c r="I23" i="3"/>
  <c r="BA22" i="3"/>
  <c r="AZ22" i="3"/>
  <c r="I22" i="3"/>
  <c r="AZ21" i="3"/>
  <c r="BA21" i="3" s="1"/>
  <c r="I21" i="3"/>
  <c r="BA20" i="3"/>
  <c r="AZ20" i="3"/>
  <c r="I20" i="3" s="1"/>
  <c r="AZ19" i="3"/>
  <c r="BA19" i="3" s="1"/>
  <c r="I19" i="3"/>
  <c r="AZ18" i="3"/>
  <c r="I18" i="3" s="1"/>
  <c r="AZ17" i="3"/>
  <c r="BA17" i="3" s="1"/>
  <c r="I17" i="3"/>
  <c r="AZ16" i="3"/>
  <c r="BA16" i="3" s="1"/>
  <c r="I16" i="3"/>
  <c r="AZ15" i="3"/>
  <c r="BA15" i="3" s="1"/>
  <c r="AZ14" i="3"/>
  <c r="BA14" i="3" s="1"/>
  <c r="I14" i="3"/>
  <c r="AZ13" i="3"/>
  <c r="BA13" i="3" s="1"/>
  <c r="Q13" i="3"/>
  <c r="AZ12" i="3"/>
  <c r="BA12" i="3" s="1"/>
  <c r="I12" i="3"/>
  <c r="AZ11" i="3"/>
  <c r="AZ10" i="3"/>
  <c r="BA10" i="3" s="1"/>
  <c r="I10" i="3"/>
  <c r="BA9" i="3"/>
  <c r="AZ9" i="3"/>
  <c r="I9" i="3"/>
  <c r="AZ8" i="3"/>
  <c r="BA8" i="3" s="1"/>
  <c r="I8" i="3"/>
  <c r="BA7" i="3"/>
  <c r="AZ7" i="3"/>
  <c r="I7" i="3" s="1"/>
  <c r="AZ6" i="3"/>
  <c r="BA6" i="3" s="1"/>
  <c r="I6" i="3"/>
  <c r="AZ5" i="3"/>
  <c r="BA5" i="3" s="1"/>
  <c r="BA8" i="5" l="1"/>
  <c r="BA24" i="6"/>
  <c r="BA7" i="7"/>
  <c r="BA20" i="7"/>
  <c r="BA32" i="7"/>
  <c r="BA16" i="8"/>
  <c r="BA28" i="8"/>
  <c r="BA9" i="9"/>
  <c r="BA11" i="10"/>
  <c r="BA6" i="12"/>
  <c r="I12" i="12"/>
  <c r="I15" i="12"/>
  <c r="I21" i="12"/>
  <c r="I27" i="12"/>
  <c r="I33" i="12"/>
  <c r="I5" i="13"/>
  <c r="I7" i="13"/>
  <c r="BA9" i="13"/>
  <c r="BA18" i="13"/>
  <c r="BA24" i="13"/>
  <c r="BA30" i="13"/>
  <c r="BA28" i="4"/>
  <c r="BA14" i="9"/>
  <c r="BA20" i="9"/>
  <c r="BA26" i="9"/>
  <c r="BA32" i="9"/>
  <c r="BA18" i="10"/>
  <c r="BA24" i="10"/>
  <c r="BA30" i="10"/>
  <c r="BA9" i="6"/>
  <c r="BA18" i="6"/>
  <c r="BA30" i="6"/>
  <c r="BA17" i="5"/>
  <c r="BA21" i="5"/>
  <c r="BA25" i="5"/>
  <c r="BA29" i="5"/>
  <c r="BA33" i="5"/>
  <c r="BA16" i="6"/>
  <c r="BA22" i="6"/>
  <c r="BA28" i="6"/>
  <c r="BA34" i="6"/>
  <c r="I21" i="9"/>
  <c r="I27" i="9"/>
  <c r="I33" i="9"/>
  <c r="BA9" i="10"/>
  <c r="I19" i="10"/>
  <c r="I25" i="10"/>
  <c r="I31" i="10"/>
  <c r="I8" i="11"/>
  <c r="I15" i="11"/>
  <c r="I10" i="12"/>
  <c r="I19" i="12"/>
  <c r="I25" i="12"/>
  <c r="I31" i="12"/>
  <c r="BA16" i="13"/>
  <c r="BA22" i="13"/>
  <c r="BA28" i="13"/>
  <c r="BA34" i="13"/>
  <c r="BA18" i="3"/>
  <c r="BA30" i="3"/>
  <c r="I15" i="3"/>
  <c r="I27" i="3"/>
  <c r="I8" i="6"/>
  <c r="I17" i="6"/>
  <c r="I23" i="6"/>
  <c r="I29" i="6"/>
  <c r="I35" i="6"/>
  <c r="I12" i="7"/>
  <c r="I17" i="7"/>
  <c r="I29" i="7"/>
  <c r="I8" i="8"/>
  <c r="I25" i="8"/>
  <c r="I8" i="9"/>
  <c r="I10" i="10"/>
  <c r="I19" i="11"/>
  <c r="I35" i="13"/>
  <c r="I5" i="3"/>
  <c r="I25" i="3"/>
  <c r="I31" i="4"/>
  <c r="I15" i="7"/>
  <c r="I27" i="7"/>
  <c r="I23" i="8"/>
  <c r="I35" i="8"/>
  <c r="I19" i="9"/>
  <c r="I25" i="9"/>
  <c r="I31" i="9"/>
  <c r="I17" i="10"/>
  <c r="I23" i="10"/>
  <c r="I29" i="10"/>
  <c r="I35" i="10"/>
  <c r="I23" i="11"/>
  <c r="I27" i="11"/>
  <c r="I31" i="11"/>
  <c r="I35" i="11"/>
  <c r="I8" i="12"/>
  <c r="I17" i="12"/>
  <c r="I23" i="12"/>
  <c r="I29" i="12"/>
  <c r="I35" i="12"/>
  <c r="BA11" i="13"/>
  <c r="BA14" i="13"/>
  <c r="BA20" i="13"/>
  <c r="BA26" i="13"/>
  <c r="U8" i="13"/>
  <c r="U5" i="13"/>
  <c r="B5" i="13"/>
  <c r="U10" i="13"/>
  <c r="I13" i="13"/>
  <c r="U8" i="12"/>
  <c r="U5" i="12"/>
  <c r="B5" i="12"/>
  <c r="I13" i="12"/>
  <c r="BA12" i="11"/>
  <c r="BA14" i="11"/>
  <c r="BA20" i="11"/>
  <c r="BA26" i="11"/>
  <c r="B5" i="11"/>
  <c r="I6" i="11"/>
  <c r="BA18" i="11"/>
  <c r="BA24" i="11"/>
  <c r="BA34" i="11"/>
  <c r="I34" i="11"/>
  <c r="BA32" i="11"/>
  <c r="I32" i="11"/>
  <c r="BA28" i="11"/>
  <c r="I28" i="11"/>
  <c r="U8" i="11"/>
  <c r="U5" i="11"/>
  <c r="BA30" i="11"/>
  <c r="I30" i="11"/>
  <c r="I13" i="11"/>
  <c r="U8" i="10"/>
  <c r="U5" i="10"/>
  <c r="B5" i="10"/>
  <c r="I12" i="10"/>
  <c r="U10" i="10"/>
  <c r="I13" i="10"/>
  <c r="U8" i="9"/>
  <c r="U5" i="9"/>
  <c r="B5" i="9"/>
  <c r="I10" i="9"/>
  <c r="I12" i="9"/>
  <c r="U8" i="8"/>
  <c r="U5" i="8"/>
  <c r="U10" i="9"/>
  <c r="BA11" i="9"/>
  <c r="I13" i="9"/>
  <c r="I11" i="8"/>
  <c r="BA11" i="8"/>
  <c r="I5" i="8"/>
  <c r="U10" i="8"/>
  <c r="B5" i="8"/>
  <c r="I13" i="8"/>
  <c r="U8" i="7"/>
  <c r="U5" i="7"/>
  <c r="B5" i="7"/>
  <c r="U10" i="7"/>
  <c r="BA11" i="7"/>
  <c r="I13" i="7"/>
  <c r="U8" i="6"/>
  <c r="U5" i="6"/>
  <c r="B5" i="6"/>
  <c r="U10" i="6"/>
  <c r="U5" i="5"/>
  <c r="U8" i="5"/>
  <c r="B5" i="5"/>
  <c r="I13" i="6"/>
  <c r="BA7" i="5"/>
  <c r="I7" i="5"/>
  <c r="BA9" i="5"/>
  <c r="BA18" i="5"/>
  <c r="BA24" i="5"/>
  <c r="BA30" i="5"/>
  <c r="BA16" i="5"/>
  <c r="BA22" i="5"/>
  <c r="BA28" i="5"/>
  <c r="BA32" i="5"/>
  <c r="BA34" i="5"/>
  <c r="I6" i="5"/>
  <c r="BA14" i="5"/>
  <c r="BA20" i="5"/>
  <c r="BA26" i="5"/>
  <c r="U10" i="5"/>
  <c r="B5" i="4"/>
  <c r="I17" i="4"/>
  <c r="BA18" i="4"/>
  <c r="I23" i="4"/>
  <c r="BA24" i="4"/>
  <c r="I29" i="4"/>
  <c r="BA30" i="4"/>
  <c r="I34" i="4"/>
  <c r="BA34" i="4"/>
  <c r="U8" i="3"/>
  <c r="U5" i="3"/>
  <c r="I8" i="4"/>
  <c r="U8" i="4"/>
  <c r="BA9" i="4"/>
  <c r="U10" i="4"/>
  <c r="BA14" i="4"/>
  <c r="I19" i="4"/>
  <c r="BA20" i="4"/>
  <c r="I25" i="4"/>
  <c r="BA26" i="4"/>
  <c r="BA32" i="4"/>
  <c r="I35" i="4"/>
  <c r="BA13" i="4"/>
  <c r="I13" i="4"/>
  <c r="I15" i="4"/>
  <c r="BA16" i="4"/>
  <c r="I21" i="4"/>
  <c r="BA22" i="4"/>
  <c r="I27" i="4"/>
  <c r="I11" i="3"/>
  <c r="BA11" i="3"/>
  <c r="U10" i="3"/>
  <c r="B5" i="3"/>
  <c r="I13" i="3"/>
  <c r="B6" i="5" l="1"/>
  <c r="AW5" i="13"/>
  <c r="B6" i="13"/>
  <c r="C5" i="13"/>
  <c r="AW5" i="12"/>
  <c r="C5" i="12"/>
  <c r="B6" i="12"/>
  <c r="AW5" i="11"/>
  <c r="B6" i="11"/>
  <c r="C5" i="11"/>
  <c r="B6" i="10"/>
  <c r="C5" i="10"/>
  <c r="AW5" i="10"/>
  <c r="C5" i="9"/>
  <c r="AW5" i="9"/>
  <c r="B6" i="9"/>
  <c r="C5" i="5"/>
  <c r="BB5" i="5" s="1"/>
  <c r="AW5" i="5"/>
  <c r="B6" i="8"/>
  <c r="AW5" i="8"/>
  <c r="C5" i="8"/>
  <c r="AW5" i="7"/>
  <c r="B6" i="7"/>
  <c r="C5" i="7"/>
  <c r="B6" i="6"/>
  <c r="C5" i="6"/>
  <c r="AW5" i="6"/>
  <c r="B7" i="5"/>
  <c r="AW6" i="5"/>
  <c r="C6" i="5"/>
  <c r="AW5" i="4"/>
  <c r="B6" i="4"/>
  <c r="C5" i="4"/>
  <c r="B6" i="3"/>
  <c r="AW5" i="3"/>
  <c r="C5" i="3"/>
  <c r="B7" i="13" l="1"/>
  <c r="AW6" i="13"/>
  <c r="C6" i="13"/>
  <c r="AX5" i="13"/>
  <c r="BB5" i="13"/>
  <c r="AY5" i="13"/>
  <c r="B7" i="12"/>
  <c r="AW6" i="12"/>
  <c r="C6" i="12"/>
  <c r="BB5" i="12"/>
  <c r="AY5" i="12"/>
  <c r="AX5" i="12"/>
  <c r="AY5" i="5"/>
  <c r="BB5" i="11"/>
  <c r="AY5" i="11"/>
  <c r="B7" i="11"/>
  <c r="AW6" i="11"/>
  <c r="C6" i="11"/>
  <c r="AX5" i="11"/>
  <c r="AX5" i="5"/>
  <c r="AX5" i="10"/>
  <c r="BB5" i="10"/>
  <c r="AY5" i="10"/>
  <c r="B7" i="10"/>
  <c r="AW6" i="10"/>
  <c r="C6" i="10"/>
  <c r="B7" i="9"/>
  <c r="AW6" i="9"/>
  <c r="C6" i="9"/>
  <c r="BB5" i="9"/>
  <c r="AY5" i="9"/>
  <c r="AX5" i="9"/>
  <c r="AX5" i="8"/>
  <c r="B7" i="8"/>
  <c r="AW6" i="8"/>
  <c r="C6" i="8"/>
  <c r="BB5" i="8"/>
  <c r="AY5" i="8"/>
  <c r="BB5" i="7"/>
  <c r="AY5" i="7"/>
  <c r="B7" i="7"/>
  <c r="AW6" i="7"/>
  <c r="C6" i="7"/>
  <c r="AX5" i="7"/>
  <c r="AX5" i="6"/>
  <c r="BB5" i="6"/>
  <c r="AY5" i="6"/>
  <c r="B7" i="6"/>
  <c r="AW6" i="6"/>
  <c r="C6" i="6"/>
  <c r="AX6" i="5"/>
  <c r="AW7" i="5"/>
  <c r="B8" i="5"/>
  <c r="C7" i="5"/>
  <c r="BB6" i="5"/>
  <c r="AY6" i="5"/>
  <c r="BB5" i="4"/>
  <c r="AY5" i="4"/>
  <c r="AW6" i="4"/>
  <c r="C6" i="4"/>
  <c r="B7" i="4"/>
  <c r="AX5" i="4"/>
  <c r="BB5" i="3"/>
  <c r="AY5" i="3"/>
  <c r="AX5" i="3"/>
  <c r="B7" i="3"/>
  <c r="AW6" i="3"/>
  <c r="C6" i="3"/>
  <c r="BB6" i="13" l="1"/>
  <c r="AY6" i="13"/>
  <c r="AX6" i="13"/>
  <c r="C7" i="13"/>
  <c r="AW7" i="13"/>
  <c r="B8" i="13"/>
  <c r="AX6" i="12"/>
  <c r="BB6" i="12"/>
  <c r="AY6" i="12"/>
  <c r="C7" i="12"/>
  <c r="B8" i="12"/>
  <c r="AW7" i="12"/>
  <c r="C7" i="11"/>
  <c r="B8" i="11"/>
  <c r="AW7" i="11"/>
  <c r="BB6" i="11"/>
  <c r="AY6" i="11"/>
  <c r="AX6" i="11"/>
  <c r="BB6" i="10"/>
  <c r="AY6" i="10"/>
  <c r="AX6" i="10"/>
  <c r="C7" i="10"/>
  <c r="AW7" i="10"/>
  <c r="B8" i="10"/>
  <c r="BB6" i="9"/>
  <c r="AY6" i="9"/>
  <c r="AX6" i="9"/>
  <c r="C7" i="9"/>
  <c r="AW7" i="9"/>
  <c r="B8" i="9"/>
  <c r="C7" i="8"/>
  <c r="AW7" i="8"/>
  <c r="B8" i="8"/>
  <c r="AX6" i="8"/>
  <c r="AY6" i="8"/>
  <c r="BB6" i="8"/>
  <c r="AX6" i="7"/>
  <c r="C7" i="7"/>
  <c r="B8" i="7"/>
  <c r="AW7" i="7"/>
  <c r="BB6" i="7"/>
  <c r="AY6" i="7"/>
  <c r="BB6" i="6"/>
  <c r="AY6" i="6"/>
  <c r="AX6" i="6"/>
  <c r="C7" i="6"/>
  <c r="B8" i="6"/>
  <c r="AW7" i="6"/>
  <c r="AX7" i="5"/>
  <c r="C8" i="5"/>
  <c r="AW8" i="5"/>
  <c r="B9" i="5"/>
  <c r="AY7" i="5"/>
  <c r="BB7" i="5"/>
  <c r="AX6" i="4"/>
  <c r="C7" i="4"/>
  <c r="AW7" i="4"/>
  <c r="B8" i="4"/>
  <c r="BB6" i="4"/>
  <c r="AY6" i="4"/>
  <c r="AY6" i="3"/>
  <c r="BB6" i="3"/>
  <c r="AX6" i="3" s="1"/>
  <c r="C7" i="3"/>
  <c r="AW7" i="3"/>
  <c r="B8" i="3"/>
  <c r="C8" i="13" l="1"/>
  <c r="B9" i="13"/>
  <c r="AW8" i="13"/>
  <c r="AX7" i="13"/>
  <c r="AY7" i="13"/>
  <c r="BB7" i="13"/>
  <c r="AX7" i="12"/>
  <c r="C8" i="12"/>
  <c r="B9" i="12"/>
  <c r="AW8" i="12"/>
  <c r="AY7" i="12"/>
  <c r="BB7" i="12"/>
  <c r="C8" i="11"/>
  <c r="B9" i="11"/>
  <c r="AW8" i="11"/>
  <c r="AY7" i="11"/>
  <c r="BB7" i="11"/>
  <c r="AX7" i="11"/>
  <c r="AY7" i="10"/>
  <c r="BB7" i="10"/>
  <c r="C8" i="10"/>
  <c r="B9" i="10"/>
  <c r="AW8" i="10"/>
  <c r="AX7" i="10"/>
  <c r="C8" i="9"/>
  <c r="B9" i="9"/>
  <c r="AW8" i="9"/>
  <c r="AX7" i="9"/>
  <c r="AY7" i="9"/>
  <c r="BB7" i="9"/>
  <c r="B9" i="8"/>
  <c r="AW8" i="8"/>
  <c r="C8" i="8"/>
  <c r="AX7" i="8"/>
  <c r="AY7" i="8"/>
  <c r="BB7" i="8"/>
  <c r="AY7" i="7"/>
  <c r="BB7" i="7"/>
  <c r="C8" i="7"/>
  <c r="B9" i="7"/>
  <c r="AW8" i="7"/>
  <c r="AX7" i="7"/>
  <c r="AY7" i="6"/>
  <c r="BB7" i="6"/>
  <c r="AX7" i="6"/>
  <c r="C8" i="6"/>
  <c r="B9" i="6"/>
  <c r="AW8" i="6"/>
  <c r="AY8" i="5"/>
  <c r="BB8" i="5"/>
  <c r="AX8" i="5"/>
  <c r="B10" i="5"/>
  <c r="AW9" i="5"/>
  <c r="C9" i="5"/>
  <c r="AY7" i="4"/>
  <c r="BB7" i="4"/>
  <c r="C8" i="4"/>
  <c r="AW8" i="4"/>
  <c r="B9" i="4"/>
  <c r="AX7" i="4"/>
  <c r="AY7" i="3"/>
  <c r="BB7" i="3"/>
  <c r="B9" i="3"/>
  <c r="AW8" i="3"/>
  <c r="C8" i="3"/>
  <c r="AX7" i="3"/>
  <c r="AX8" i="13" l="1"/>
  <c r="B10" i="13"/>
  <c r="AW9" i="13"/>
  <c r="C9" i="13"/>
  <c r="AY8" i="13"/>
  <c r="BB8" i="13"/>
  <c r="AX8" i="12"/>
  <c r="B10" i="12"/>
  <c r="AW9" i="12"/>
  <c r="C9" i="12"/>
  <c r="AY8" i="12"/>
  <c r="BB8" i="12"/>
  <c r="B10" i="11"/>
  <c r="AW9" i="11"/>
  <c r="C9" i="11"/>
  <c r="AY8" i="11"/>
  <c r="BB8" i="11"/>
  <c r="AX8" i="11"/>
  <c r="AX8" i="10"/>
  <c r="B10" i="10"/>
  <c r="AW9" i="10"/>
  <c r="C9" i="10"/>
  <c r="AY8" i="10"/>
  <c r="BB8" i="10"/>
  <c r="B10" i="9"/>
  <c r="AW9" i="9"/>
  <c r="C9" i="9"/>
  <c r="AX8" i="9"/>
  <c r="AY8" i="9"/>
  <c r="BB8" i="9"/>
  <c r="AX8" i="8"/>
  <c r="B10" i="8"/>
  <c r="AW9" i="8"/>
  <c r="C9" i="8"/>
  <c r="BB8" i="8"/>
  <c r="AY8" i="8"/>
  <c r="AX8" i="7"/>
  <c r="B10" i="7"/>
  <c r="AW9" i="7"/>
  <c r="C9" i="7"/>
  <c r="AY8" i="7"/>
  <c r="BB8" i="7"/>
  <c r="AX8" i="6"/>
  <c r="B10" i="6"/>
  <c r="AW9" i="6"/>
  <c r="C9" i="6"/>
  <c r="AY8" i="6"/>
  <c r="BB8" i="6"/>
  <c r="AX9" i="5"/>
  <c r="B11" i="5"/>
  <c r="AW10" i="5"/>
  <c r="C10" i="5"/>
  <c r="BB9" i="5"/>
  <c r="AY9" i="5"/>
  <c r="AX8" i="4"/>
  <c r="AY8" i="4"/>
  <c r="BB8" i="4"/>
  <c r="B10" i="4"/>
  <c r="AW9" i="4"/>
  <c r="C9" i="4"/>
  <c r="AX8" i="3"/>
  <c r="B10" i="3"/>
  <c r="AW9" i="3"/>
  <c r="C9" i="3"/>
  <c r="BB8" i="3"/>
  <c r="AY8" i="3"/>
  <c r="AX9" i="13" l="1"/>
  <c r="C10" i="13"/>
  <c r="B11" i="13"/>
  <c r="AW10" i="13"/>
  <c r="BB9" i="13"/>
  <c r="AY9" i="13"/>
  <c r="AX9" i="12"/>
  <c r="C10" i="12"/>
  <c r="B11" i="12"/>
  <c r="AW10" i="12"/>
  <c r="BB9" i="12"/>
  <c r="AY9" i="12"/>
  <c r="AX9" i="11"/>
  <c r="C10" i="11"/>
  <c r="B11" i="11"/>
  <c r="AW10" i="11"/>
  <c r="BB9" i="11"/>
  <c r="AY9" i="11"/>
  <c r="BB9" i="10"/>
  <c r="AY9" i="10"/>
  <c r="AX9" i="10"/>
  <c r="C10" i="10"/>
  <c r="B11" i="10"/>
  <c r="AW10" i="10"/>
  <c r="BB9" i="9"/>
  <c r="AY9" i="9"/>
  <c r="AX9" i="9"/>
  <c r="C10" i="9"/>
  <c r="B11" i="9"/>
  <c r="AW10" i="9"/>
  <c r="AX9" i="8"/>
  <c r="AY9" i="8"/>
  <c r="BB9" i="8"/>
  <c r="C10" i="8"/>
  <c r="B11" i="8"/>
  <c r="AW10" i="8"/>
  <c r="BB9" i="7"/>
  <c r="AY9" i="7"/>
  <c r="AX9" i="7"/>
  <c r="C10" i="7"/>
  <c r="B11" i="7"/>
  <c r="AW10" i="7"/>
  <c r="AX9" i="6"/>
  <c r="C10" i="6"/>
  <c r="B11" i="6"/>
  <c r="AW10" i="6"/>
  <c r="BB9" i="6"/>
  <c r="AY9" i="6"/>
  <c r="AX10" i="5"/>
  <c r="C11" i="5"/>
  <c r="B12" i="5"/>
  <c r="AW11" i="5"/>
  <c r="AY10" i="5"/>
  <c r="BB10" i="5"/>
  <c r="BB9" i="4"/>
  <c r="AY9" i="4"/>
  <c r="AX9" i="4"/>
  <c r="C10" i="4"/>
  <c r="B11" i="4"/>
  <c r="AW10" i="4"/>
  <c r="C10" i="3"/>
  <c r="AW10" i="3"/>
  <c r="B11" i="3"/>
  <c r="AX9" i="3"/>
  <c r="AY9" i="3"/>
  <c r="BB9" i="3"/>
  <c r="AX10" i="13" l="1"/>
  <c r="AY10" i="13"/>
  <c r="BB10" i="13"/>
  <c r="C11" i="13"/>
  <c r="AW11" i="13"/>
  <c r="B12" i="13"/>
  <c r="AX10" i="12"/>
  <c r="C11" i="12"/>
  <c r="B12" i="12"/>
  <c r="AW11" i="12"/>
  <c r="AY10" i="12"/>
  <c r="BB10" i="12"/>
  <c r="AY10" i="11"/>
  <c r="BB10" i="11"/>
  <c r="AX10" i="11"/>
  <c r="C11" i="11"/>
  <c r="AW11" i="11"/>
  <c r="B12" i="11"/>
  <c r="C11" i="10"/>
  <c r="AW11" i="10"/>
  <c r="B12" i="10"/>
  <c r="AY10" i="10"/>
  <c r="BB10" i="10"/>
  <c r="AX10" i="10"/>
  <c r="AY10" i="9"/>
  <c r="BB10" i="9"/>
  <c r="C11" i="9"/>
  <c r="AW11" i="9"/>
  <c r="B12" i="9"/>
  <c r="AX10" i="9"/>
  <c r="AX10" i="8"/>
  <c r="AY10" i="8"/>
  <c r="BB10" i="8"/>
  <c r="C11" i="8"/>
  <c r="B12" i="8"/>
  <c r="AW11" i="8"/>
  <c r="AY10" i="7"/>
  <c r="BB10" i="7"/>
  <c r="C11" i="7"/>
  <c r="B12" i="7"/>
  <c r="AW11" i="7"/>
  <c r="AX10" i="7"/>
  <c r="C11" i="6"/>
  <c r="AW11" i="6"/>
  <c r="B12" i="6"/>
  <c r="AX10" i="6"/>
  <c r="AY10" i="6"/>
  <c r="BB10" i="6"/>
  <c r="AX11" i="5"/>
  <c r="B13" i="5"/>
  <c r="AW12" i="5"/>
  <c r="C12" i="5"/>
  <c r="BB11" i="5"/>
  <c r="AY11" i="5"/>
  <c r="C11" i="4"/>
  <c r="AW11" i="4"/>
  <c r="B12" i="4"/>
  <c r="AY10" i="4"/>
  <c r="BB10" i="4"/>
  <c r="AX10" i="4"/>
  <c r="C11" i="3"/>
  <c r="B12" i="3"/>
  <c r="AW11" i="3"/>
  <c r="AX10" i="3"/>
  <c r="AY10" i="3"/>
  <c r="BB10" i="3"/>
  <c r="BB11" i="13" l="1"/>
  <c r="AY11" i="13"/>
  <c r="B13" i="13"/>
  <c r="AW12" i="13"/>
  <c r="C12" i="13"/>
  <c r="AX11" i="13"/>
  <c r="B13" i="12"/>
  <c r="AW12" i="12"/>
  <c r="C12" i="12"/>
  <c r="BB11" i="12"/>
  <c r="AY11" i="12"/>
  <c r="AX11" i="12"/>
  <c r="BB11" i="11"/>
  <c r="AY11" i="11"/>
  <c r="B13" i="11"/>
  <c r="AW12" i="11"/>
  <c r="C12" i="11"/>
  <c r="AX11" i="11"/>
  <c r="B13" i="10"/>
  <c r="AW12" i="10"/>
  <c r="C12" i="10"/>
  <c r="AX11" i="10"/>
  <c r="BB11" i="10"/>
  <c r="AY11" i="10"/>
  <c r="BB11" i="9"/>
  <c r="AY11" i="9"/>
  <c r="B13" i="9"/>
  <c r="AW12" i="9"/>
  <c r="C12" i="9"/>
  <c r="AX11" i="9"/>
  <c r="AX11" i="8"/>
  <c r="C12" i="8"/>
  <c r="B13" i="8"/>
  <c r="AW12" i="8"/>
  <c r="BB11" i="8"/>
  <c r="AY11" i="8"/>
  <c r="BB11" i="7"/>
  <c r="AY11" i="7"/>
  <c r="AX11" i="7"/>
  <c r="B13" i="7"/>
  <c r="AW12" i="7"/>
  <c r="C12" i="7"/>
  <c r="B13" i="6"/>
  <c r="AW12" i="6"/>
  <c r="C12" i="6"/>
  <c r="AX11" i="6"/>
  <c r="BB11" i="6"/>
  <c r="AY11" i="6"/>
  <c r="AX12" i="5"/>
  <c r="AY12" i="5"/>
  <c r="BB12" i="5"/>
  <c r="C13" i="5"/>
  <c r="B14" i="5"/>
  <c r="AW13" i="5"/>
  <c r="AX11" i="4"/>
  <c r="BB11" i="4"/>
  <c r="AY11" i="4"/>
  <c r="B13" i="4"/>
  <c r="AW12" i="4"/>
  <c r="C12" i="4"/>
  <c r="AX11" i="3"/>
  <c r="C12" i="3"/>
  <c r="B13" i="3"/>
  <c r="AW12" i="3"/>
  <c r="BB11" i="3"/>
  <c r="AY11" i="3"/>
  <c r="AY12" i="13" l="1"/>
  <c r="BB12" i="13"/>
  <c r="AX12" i="13"/>
  <c r="C13" i="13"/>
  <c r="B14" i="13"/>
  <c r="AW13" i="13"/>
  <c r="AY12" i="12"/>
  <c r="BB12" i="12"/>
  <c r="AX12" i="12"/>
  <c r="C13" i="12"/>
  <c r="B14" i="12"/>
  <c r="AW13" i="12"/>
  <c r="AX12" i="11"/>
  <c r="C13" i="11"/>
  <c r="AW13" i="11"/>
  <c r="B14" i="11"/>
  <c r="AY12" i="11"/>
  <c r="BB12" i="11"/>
  <c r="AY12" i="10"/>
  <c r="BB12" i="10"/>
  <c r="AX12" i="10"/>
  <c r="C13" i="10"/>
  <c r="B14" i="10"/>
  <c r="AW13" i="10"/>
  <c r="C13" i="9"/>
  <c r="B14" i="9"/>
  <c r="AW13" i="9"/>
  <c r="AY12" i="9"/>
  <c r="BB12" i="9"/>
  <c r="AX12" i="9" s="1"/>
  <c r="AY12" i="8"/>
  <c r="BB12" i="8"/>
  <c r="C13" i="8"/>
  <c r="B14" i="8"/>
  <c r="AW13" i="8"/>
  <c r="AX12" i="8"/>
  <c r="C13" i="7"/>
  <c r="B14" i="7"/>
  <c r="AW13" i="7"/>
  <c r="AY12" i="7"/>
  <c r="BB12" i="7"/>
  <c r="AX12" i="7"/>
  <c r="AY12" i="6"/>
  <c r="BB12" i="6"/>
  <c r="AX12" i="6"/>
  <c r="C13" i="6"/>
  <c r="B14" i="6"/>
  <c r="AW13" i="6"/>
  <c r="AY13" i="5"/>
  <c r="BB13" i="5"/>
  <c r="AX13" i="5"/>
  <c r="B15" i="5"/>
  <c r="AW14" i="5"/>
  <c r="C14" i="5"/>
  <c r="AY12" i="4"/>
  <c r="BB12" i="4"/>
  <c r="AX12" i="4"/>
  <c r="B14" i="4"/>
  <c r="AW13" i="4"/>
  <c r="C13" i="4"/>
  <c r="C13" i="3"/>
  <c r="B14" i="3"/>
  <c r="AW13" i="3"/>
  <c r="AY12" i="3"/>
  <c r="BB12" i="3"/>
  <c r="AX12" i="3"/>
  <c r="B15" i="13" l="1"/>
  <c r="AW14" i="13"/>
  <c r="C14" i="13"/>
  <c r="AY13" i="13"/>
  <c r="BB13" i="13"/>
  <c r="AX13" i="13"/>
  <c r="B15" i="12"/>
  <c r="AW14" i="12"/>
  <c r="C14" i="12"/>
  <c r="AY13" i="12"/>
  <c r="BB13" i="12"/>
  <c r="AX13" i="12"/>
  <c r="AX13" i="11"/>
  <c r="AY13" i="11"/>
  <c r="BB13" i="11"/>
  <c r="B15" i="11"/>
  <c r="AW14" i="11"/>
  <c r="C14" i="11"/>
  <c r="AY13" i="10"/>
  <c r="BB13" i="10"/>
  <c r="B15" i="10"/>
  <c r="AW14" i="10"/>
  <c r="C14" i="10"/>
  <c r="AX13" i="10"/>
  <c r="AX13" i="9"/>
  <c r="B15" i="9"/>
  <c r="AW14" i="9"/>
  <c r="C14" i="9"/>
  <c r="AY13" i="9"/>
  <c r="BB13" i="9"/>
  <c r="AX13" i="8"/>
  <c r="B15" i="8"/>
  <c r="AW14" i="8"/>
  <c r="C14" i="8"/>
  <c r="BB13" i="8"/>
  <c r="AY13" i="8"/>
  <c r="AX13" i="7"/>
  <c r="B15" i="7"/>
  <c r="AW14" i="7"/>
  <c r="C14" i="7"/>
  <c r="AY13" i="7"/>
  <c r="BB13" i="7"/>
  <c r="B15" i="6"/>
  <c r="AW14" i="6"/>
  <c r="C14" i="6"/>
  <c r="AY13" i="6"/>
  <c r="BB13" i="6"/>
  <c r="AX13" i="6"/>
  <c r="BB14" i="5"/>
  <c r="AY14" i="5"/>
  <c r="AW15" i="5"/>
  <c r="C15" i="5"/>
  <c r="B16" i="5"/>
  <c r="AX14" i="5"/>
  <c r="B15" i="4"/>
  <c r="AW14" i="4"/>
  <c r="C14" i="4"/>
  <c r="AY13" i="4"/>
  <c r="BB13" i="4"/>
  <c r="AX13" i="4"/>
  <c r="AX13" i="3"/>
  <c r="B15" i="3"/>
  <c r="AW14" i="3"/>
  <c r="C14" i="3"/>
  <c r="BB13" i="3"/>
  <c r="AY13" i="3"/>
  <c r="BB14" i="13" l="1"/>
  <c r="AY14" i="13"/>
  <c r="AX14" i="13"/>
  <c r="C15" i="13"/>
  <c r="B16" i="13"/>
  <c r="AW15" i="13"/>
  <c r="BB14" i="12"/>
  <c r="AY14" i="12"/>
  <c r="AX14" i="12"/>
  <c r="C15" i="12"/>
  <c r="B16" i="12"/>
  <c r="AW15" i="12"/>
  <c r="BB14" i="11"/>
  <c r="AY14" i="11"/>
  <c r="C15" i="11"/>
  <c r="AW15" i="11"/>
  <c r="B16" i="11"/>
  <c r="AX14" i="11"/>
  <c r="AX14" i="10"/>
  <c r="C15" i="10"/>
  <c r="B16" i="10"/>
  <c r="AW15" i="10"/>
  <c r="BB14" i="10"/>
  <c r="AY14" i="10"/>
  <c r="C15" i="9"/>
  <c r="B16" i="9"/>
  <c r="AW15" i="9"/>
  <c r="BB14" i="9"/>
  <c r="AX14" i="9" s="1"/>
  <c r="AY14" i="9"/>
  <c r="AX14" i="8"/>
  <c r="C15" i="8"/>
  <c r="B16" i="8"/>
  <c r="AW15" i="8"/>
  <c r="AY14" i="8"/>
  <c r="BB14" i="8"/>
  <c r="AX14" i="7"/>
  <c r="C15" i="7"/>
  <c r="B16" i="7"/>
  <c r="AW15" i="7"/>
  <c r="BB14" i="7"/>
  <c r="AY14" i="7"/>
  <c r="BB14" i="6"/>
  <c r="AY14" i="6"/>
  <c r="AX14" i="6"/>
  <c r="C15" i="6"/>
  <c r="B16" i="6"/>
  <c r="AW15" i="6"/>
  <c r="AX15" i="5"/>
  <c r="AY15" i="5"/>
  <c r="BB15" i="5"/>
  <c r="B17" i="5"/>
  <c r="AW16" i="5"/>
  <c r="C16" i="5"/>
  <c r="BB14" i="4"/>
  <c r="AY14" i="4"/>
  <c r="AX14" i="4"/>
  <c r="C15" i="4"/>
  <c r="AW15" i="4"/>
  <c r="B16" i="4"/>
  <c r="AX14" i="3"/>
  <c r="C15" i="3"/>
  <c r="B16" i="3"/>
  <c r="AW15" i="3"/>
  <c r="AY14" i="3"/>
  <c r="BB14" i="3"/>
  <c r="AY15" i="13" l="1"/>
  <c r="BB15" i="13"/>
  <c r="AX15" i="13"/>
  <c r="B17" i="13"/>
  <c r="AW16" i="13"/>
  <c r="C16" i="13"/>
  <c r="AY15" i="12"/>
  <c r="BB15" i="12"/>
  <c r="AX15" i="12"/>
  <c r="B17" i="12"/>
  <c r="AW16" i="12"/>
  <c r="C16" i="12"/>
  <c r="AX15" i="11"/>
  <c r="AY15" i="11"/>
  <c r="BB15" i="11"/>
  <c r="B17" i="11"/>
  <c r="AW16" i="11"/>
  <c r="C16" i="11"/>
  <c r="B17" i="10"/>
  <c r="AW16" i="10"/>
  <c r="C16" i="10"/>
  <c r="AY15" i="10"/>
  <c r="BB15" i="10"/>
  <c r="AX15" i="10"/>
  <c r="AY15" i="9"/>
  <c r="BB15" i="9"/>
  <c r="B17" i="9"/>
  <c r="AW16" i="9"/>
  <c r="C16" i="9"/>
  <c r="AX15" i="9"/>
  <c r="B17" i="8"/>
  <c r="AW16" i="8"/>
  <c r="C16" i="8"/>
  <c r="BB15" i="8"/>
  <c r="AY15" i="8"/>
  <c r="AX15" i="8"/>
  <c r="B17" i="7"/>
  <c r="AW16" i="7"/>
  <c r="C16" i="7"/>
  <c r="AY15" i="7"/>
  <c r="BB15" i="7"/>
  <c r="AX15" i="7"/>
  <c r="AY15" i="6"/>
  <c r="BB15" i="6"/>
  <c r="AX15" i="6"/>
  <c r="B17" i="6"/>
  <c r="AW16" i="6"/>
  <c r="C16" i="6"/>
  <c r="BB16" i="5"/>
  <c r="AY16" i="5"/>
  <c r="C17" i="5"/>
  <c r="B18" i="5"/>
  <c r="AW17" i="5"/>
  <c r="AX16" i="5"/>
  <c r="C16" i="4"/>
  <c r="AW16" i="4"/>
  <c r="B17" i="4"/>
  <c r="AY15" i="4"/>
  <c r="BB15" i="4"/>
  <c r="AX15" i="4"/>
  <c r="B17" i="3"/>
  <c r="AW16" i="3"/>
  <c r="C16" i="3"/>
  <c r="BB15" i="3"/>
  <c r="AY15" i="3"/>
  <c r="AX15" i="3"/>
  <c r="BB16" i="13" l="1"/>
  <c r="AY16" i="13"/>
  <c r="C17" i="13"/>
  <c r="B18" i="13"/>
  <c r="AW17" i="13"/>
  <c r="AX16" i="13"/>
  <c r="C17" i="12"/>
  <c r="B18" i="12"/>
  <c r="AW17" i="12"/>
  <c r="AX16" i="12"/>
  <c r="BB16" i="12"/>
  <c r="AY16" i="12"/>
  <c r="C17" i="11"/>
  <c r="B18" i="11"/>
  <c r="AW17" i="11"/>
  <c r="BB16" i="11"/>
  <c r="AY16" i="11"/>
  <c r="AX16" i="11"/>
  <c r="BB16" i="10"/>
  <c r="AY16" i="10"/>
  <c r="AX16" i="10"/>
  <c r="C17" i="10"/>
  <c r="B18" i="10"/>
  <c r="AW17" i="10"/>
  <c r="C17" i="9"/>
  <c r="B18" i="9"/>
  <c r="AW17" i="9"/>
  <c r="AX16" i="9"/>
  <c r="BB16" i="9"/>
  <c r="AY16" i="9"/>
  <c r="AY16" i="8"/>
  <c r="BB16" i="8"/>
  <c r="AX16" i="8"/>
  <c r="C17" i="8"/>
  <c r="B18" i="8"/>
  <c r="AW17" i="8"/>
  <c r="BB16" i="7"/>
  <c r="AY16" i="7"/>
  <c r="AX16" i="7"/>
  <c r="C17" i="7"/>
  <c r="B18" i="7"/>
  <c r="AW17" i="7"/>
  <c r="C17" i="6"/>
  <c r="B18" i="6"/>
  <c r="AW17" i="6"/>
  <c r="BB16" i="6"/>
  <c r="AY16" i="6"/>
  <c r="AX16" i="6"/>
  <c r="AY17" i="5"/>
  <c r="BB17" i="5"/>
  <c r="AX17" i="5"/>
  <c r="B19" i="5"/>
  <c r="AW18" i="5"/>
  <c r="C18" i="5"/>
  <c r="C17" i="4"/>
  <c r="B18" i="4"/>
  <c r="AW17" i="4"/>
  <c r="AX16" i="4"/>
  <c r="BB16" i="4"/>
  <c r="AY16" i="4"/>
  <c r="AY16" i="3"/>
  <c r="BB16" i="3"/>
  <c r="AX16" i="3" s="1"/>
  <c r="C17" i="3"/>
  <c r="B18" i="3"/>
  <c r="AW17" i="3"/>
  <c r="B19" i="13" l="1"/>
  <c r="AW18" i="13"/>
  <c r="C18" i="13"/>
  <c r="AX17" i="13"/>
  <c r="AY17" i="13"/>
  <c r="BB17" i="13"/>
  <c r="AX17" i="12"/>
  <c r="B19" i="12"/>
  <c r="AW18" i="12"/>
  <c r="C18" i="12"/>
  <c r="AY17" i="12"/>
  <c r="BB17" i="12"/>
  <c r="AX17" i="11"/>
  <c r="B19" i="11"/>
  <c r="AW18" i="11"/>
  <c r="C18" i="11"/>
  <c r="AY17" i="11"/>
  <c r="BB17" i="11"/>
  <c r="AY17" i="10"/>
  <c r="BB17" i="10"/>
  <c r="AX17" i="10"/>
  <c r="B19" i="10"/>
  <c r="AW18" i="10"/>
  <c r="C18" i="10"/>
  <c r="AX17" i="9"/>
  <c r="B19" i="9"/>
  <c r="AW18" i="9"/>
  <c r="C18" i="9"/>
  <c r="AY17" i="9"/>
  <c r="BB17" i="9"/>
  <c r="BB17" i="8"/>
  <c r="AY17" i="8"/>
  <c r="AX17" i="8"/>
  <c r="B19" i="8"/>
  <c r="AW18" i="8"/>
  <c r="C18" i="8"/>
  <c r="AY17" i="7"/>
  <c r="BB17" i="7"/>
  <c r="AX17" i="7"/>
  <c r="B19" i="7"/>
  <c r="AW18" i="7"/>
  <c r="C18" i="7"/>
  <c r="B19" i="6"/>
  <c r="AW18" i="6"/>
  <c r="C18" i="6"/>
  <c r="AX17" i="6"/>
  <c r="AY17" i="6"/>
  <c r="BB17" i="6"/>
  <c r="AX18" i="5"/>
  <c r="B20" i="5"/>
  <c r="AW19" i="5"/>
  <c r="C19" i="5"/>
  <c r="BB18" i="5"/>
  <c r="AY18" i="5"/>
  <c r="C18" i="4"/>
  <c r="AW18" i="4"/>
  <c r="B19" i="4"/>
  <c r="AX17" i="4"/>
  <c r="AY17" i="4"/>
  <c r="BB17" i="4"/>
  <c r="BB17" i="3"/>
  <c r="AY17" i="3"/>
  <c r="AX17" i="3"/>
  <c r="B19" i="3"/>
  <c r="AW18" i="3"/>
  <c r="C18" i="3"/>
  <c r="BB18" i="13" l="1"/>
  <c r="AY18" i="13"/>
  <c r="AX18" i="13"/>
  <c r="C19" i="13"/>
  <c r="B20" i="13"/>
  <c r="AW19" i="13"/>
  <c r="BB18" i="12"/>
  <c r="AY18" i="12"/>
  <c r="AX18" i="12"/>
  <c r="C19" i="12"/>
  <c r="B20" i="12"/>
  <c r="AW19" i="12"/>
  <c r="AX18" i="11"/>
  <c r="C19" i="11"/>
  <c r="AW19" i="11"/>
  <c r="B20" i="11"/>
  <c r="BB18" i="11"/>
  <c r="AY18" i="11"/>
  <c r="AX18" i="10"/>
  <c r="C19" i="10"/>
  <c r="B20" i="10"/>
  <c r="AW19" i="10"/>
  <c r="BB18" i="10"/>
  <c r="AY18" i="10"/>
  <c r="AX18" i="9"/>
  <c r="C19" i="9"/>
  <c r="B20" i="9"/>
  <c r="AW19" i="9"/>
  <c r="BB18" i="9"/>
  <c r="AY18" i="9"/>
  <c r="C19" i="8"/>
  <c r="B20" i="8"/>
  <c r="AW19" i="8"/>
  <c r="AY18" i="8"/>
  <c r="BB18" i="8"/>
  <c r="AX18" i="8"/>
  <c r="AX18" i="7"/>
  <c r="C19" i="7"/>
  <c r="B20" i="7"/>
  <c r="AW19" i="7"/>
  <c r="BB18" i="7"/>
  <c r="AY18" i="7"/>
  <c r="BB18" i="6"/>
  <c r="AY18" i="6"/>
  <c r="AX18" i="6"/>
  <c r="C19" i="6"/>
  <c r="B20" i="6"/>
  <c r="AW19" i="6"/>
  <c r="B21" i="5"/>
  <c r="AW20" i="5"/>
  <c r="C20" i="5"/>
  <c r="AX19" i="5"/>
  <c r="AY19" i="5"/>
  <c r="BB19" i="5"/>
  <c r="C19" i="4"/>
  <c r="AW19" i="4"/>
  <c r="B20" i="4"/>
  <c r="AX18" i="4"/>
  <c r="BB18" i="4"/>
  <c r="AY18" i="4"/>
  <c r="C19" i="3"/>
  <c r="B20" i="3"/>
  <c r="AW19" i="3"/>
  <c r="AY18" i="3"/>
  <c r="BB18" i="3"/>
  <c r="AX18" i="3"/>
  <c r="AY19" i="13" l="1"/>
  <c r="BB19" i="13"/>
  <c r="AX19" i="13"/>
  <c r="B21" i="13"/>
  <c r="AW20" i="13"/>
  <c r="C20" i="13"/>
  <c r="AY19" i="12"/>
  <c r="BB19" i="12"/>
  <c r="AX19" i="12"/>
  <c r="B21" i="12"/>
  <c r="AW20" i="12"/>
  <c r="C20" i="12"/>
  <c r="B21" i="11"/>
  <c r="AW20" i="11"/>
  <c r="C20" i="11"/>
  <c r="AY19" i="11"/>
  <c r="BB19" i="11"/>
  <c r="AX19" i="11" s="1"/>
  <c r="B21" i="10"/>
  <c r="AW20" i="10"/>
  <c r="C20" i="10"/>
  <c r="AX19" i="10"/>
  <c r="AY19" i="10"/>
  <c r="BB19" i="10"/>
  <c r="AX19" i="9"/>
  <c r="B21" i="9"/>
  <c r="AW20" i="9"/>
  <c r="C20" i="9"/>
  <c r="AY19" i="9"/>
  <c r="BB19" i="9"/>
  <c r="AX19" i="8"/>
  <c r="B21" i="8"/>
  <c r="AW20" i="8"/>
  <c r="C20" i="8"/>
  <c r="BB19" i="8"/>
  <c r="AY19" i="8"/>
  <c r="B21" i="7"/>
  <c r="AW20" i="7"/>
  <c r="C20" i="7"/>
  <c r="AX19" i="7"/>
  <c r="AY19" i="7"/>
  <c r="BB19" i="7"/>
  <c r="AY19" i="6"/>
  <c r="BB19" i="6"/>
  <c r="AX19" i="6"/>
  <c r="B21" i="6"/>
  <c r="AW20" i="6"/>
  <c r="C20" i="6"/>
  <c r="AX20" i="5"/>
  <c r="AW21" i="5"/>
  <c r="C21" i="5"/>
  <c r="B22" i="5"/>
  <c r="BB20" i="5"/>
  <c r="AY20" i="5"/>
  <c r="B21" i="4"/>
  <c r="C20" i="4"/>
  <c r="AW20" i="4"/>
  <c r="AX19" i="4"/>
  <c r="AY19" i="4"/>
  <c r="BB19" i="4"/>
  <c r="AX19" i="3"/>
  <c r="B21" i="3"/>
  <c r="AW20" i="3"/>
  <c r="C20" i="3"/>
  <c r="BB19" i="3"/>
  <c r="AY19" i="3"/>
  <c r="AX20" i="13" l="1"/>
  <c r="C21" i="13"/>
  <c r="B22" i="13"/>
  <c r="AW21" i="13"/>
  <c r="BB20" i="13"/>
  <c r="AY20" i="13"/>
  <c r="C21" i="12"/>
  <c r="B22" i="12"/>
  <c r="AW21" i="12"/>
  <c r="AX20" i="12"/>
  <c r="BB20" i="12"/>
  <c r="AY20" i="12"/>
  <c r="BB20" i="11"/>
  <c r="AY20" i="11"/>
  <c r="AX20" i="11"/>
  <c r="C21" i="11"/>
  <c r="B22" i="11"/>
  <c r="AW21" i="11"/>
  <c r="BB20" i="10"/>
  <c r="AY20" i="10"/>
  <c r="AX20" i="10"/>
  <c r="C21" i="10"/>
  <c r="B22" i="10"/>
  <c r="AW21" i="10"/>
  <c r="C21" i="9"/>
  <c r="B22" i="9"/>
  <c r="AW21" i="9"/>
  <c r="BB20" i="9"/>
  <c r="AX20" i="9" s="1"/>
  <c r="AY20" i="9"/>
  <c r="AX20" i="8"/>
  <c r="C21" i="8"/>
  <c r="B22" i="8"/>
  <c r="AW21" i="8"/>
  <c r="AY20" i="8"/>
  <c r="BB20" i="8"/>
  <c r="BB20" i="7"/>
  <c r="AY20" i="7"/>
  <c r="AX20" i="7"/>
  <c r="C21" i="7"/>
  <c r="B22" i="7"/>
  <c r="AW21" i="7"/>
  <c r="AX20" i="6"/>
  <c r="C21" i="6"/>
  <c r="B22" i="6"/>
  <c r="AW21" i="6"/>
  <c r="BB20" i="6"/>
  <c r="AY20" i="6"/>
  <c r="AY21" i="5"/>
  <c r="BB21" i="5"/>
  <c r="AX21" i="5"/>
  <c r="B23" i="5"/>
  <c r="AW22" i="5"/>
  <c r="C22" i="5"/>
  <c r="AX20" i="4"/>
  <c r="BB20" i="4"/>
  <c r="AY20" i="4"/>
  <c r="C21" i="4"/>
  <c r="AW21" i="4"/>
  <c r="B22" i="4"/>
  <c r="AX20" i="3"/>
  <c r="C21" i="3"/>
  <c r="B22" i="3"/>
  <c r="AW21" i="3"/>
  <c r="AY20" i="3"/>
  <c r="BB20" i="3"/>
  <c r="AX21" i="13" l="1"/>
  <c r="B23" i="13"/>
  <c r="AW22" i="13"/>
  <c r="C22" i="13"/>
  <c r="AY21" i="13"/>
  <c r="BB21" i="13"/>
  <c r="AX21" i="12"/>
  <c r="B23" i="12"/>
  <c r="AW22" i="12"/>
  <c r="C22" i="12"/>
  <c r="AY21" i="12"/>
  <c r="BB21" i="12"/>
  <c r="AY21" i="11"/>
  <c r="BB21" i="11"/>
  <c r="AX21" i="11"/>
  <c r="B23" i="11"/>
  <c r="AW22" i="11"/>
  <c r="C22" i="11"/>
  <c r="AY21" i="10"/>
  <c r="BB21" i="10"/>
  <c r="AX21" i="10"/>
  <c r="B23" i="10"/>
  <c r="AW22" i="10"/>
  <c r="C22" i="10"/>
  <c r="B23" i="9"/>
  <c r="AW22" i="9"/>
  <c r="C22" i="9"/>
  <c r="AY21" i="9"/>
  <c r="BB21" i="9"/>
  <c r="AX21" i="9"/>
  <c r="AX21" i="8"/>
  <c r="B23" i="8"/>
  <c r="AW22" i="8"/>
  <c r="C22" i="8"/>
  <c r="BB21" i="8"/>
  <c r="AY21" i="8"/>
  <c r="AY21" i="7"/>
  <c r="BB21" i="7"/>
  <c r="AX21" i="7"/>
  <c r="B23" i="7"/>
  <c r="AW22" i="7"/>
  <c r="C22" i="7"/>
  <c r="AX21" i="6"/>
  <c r="B23" i="6"/>
  <c r="AW22" i="6"/>
  <c r="C22" i="6"/>
  <c r="AY21" i="6"/>
  <c r="BB21" i="6"/>
  <c r="BB22" i="5"/>
  <c r="AY22" i="5"/>
  <c r="B24" i="5"/>
  <c r="C23" i="5"/>
  <c r="AW23" i="5"/>
  <c r="AX22" i="5"/>
  <c r="AY21" i="4"/>
  <c r="BB21" i="4"/>
  <c r="C22" i="4"/>
  <c r="AW22" i="4"/>
  <c r="B23" i="4"/>
  <c r="AX21" i="4"/>
  <c r="B23" i="3"/>
  <c r="AW22" i="3"/>
  <c r="C22" i="3"/>
  <c r="BB21" i="3"/>
  <c r="AY21" i="3"/>
  <c r="AX21" i="3"/>
  <c r="BB22" i="13" l="1"/>
  <c r="AY22" i="13"/>
  <c r="AX22" i="13"/>
  <c r="C23" i="13"/>
  <c r="B24" i="13"/>
  <c r="AW23" i="13"/>
  <c r="BB22" i="12"/>
  <c r="AY22" i="12"/>
  <c r="AX22" i="12"/>
  <c r="C23" i="12"/>
  <c r="B24" i="12"/>
  <c r="AW23" i="12"/>
  <c r="AX22" i="11"/>
  <c r="C23" i="11"/>
  <c r="AW23" i="11"/>
  <c r="B24" i="11"/>
  <c r="BB22" i="11"/>
  <c r="AY22" i="11"/>
  <c r="AX22" i="10"/>
  <c r="C23" i="10"/>
  <c r="B24" i="10"/>
  <c r="AW23" i="10"/>
  <c r="BB22" i="10"/>
  <c r="AY22" i="10"/>
  <c r="BB22" i="9"/>
  <c r="AY22" i="9"/>
  <c r="AX22" i="9"/>
  <c r="C23" i="9"/>
  <c r="B24" i="9"/>
  <c r="AW23" i="9"/>
  <c r="AX22" i="8"/>
  <c r="C23" i="8"/>
  <c r="B24" i="8"/>
  <c r="AW23" i="8"/>
  <c r="BB22" i="8"/>
  <c r="AY22" i="8"/>
  <c r="C23" i="7"/>
  <c r="B24" i="7"/>
  <c r="AW23" i="7"/>
  <c r="AX22" i="7"/>
  <c r="BB22" i="7"/>
  <c r="AY22" i="7"/>
  <c r="AX22" i="6"/>
  <c r="C23" i="6"/>
  <c r="B24" i="6"/>
  <c r="AW23" i="6"/>
  <c r="BB22" i="6"/>
  <c r="AY22" i="6"/>
  <c r="B25" i="5"/>
  <c r="AW24" i="5"/>
  <c r="C24" i="5"/>
  <c r="AX23" i="5"/>
  <c r="AY23" i="5"/>
  <c r="BB23" i="5"/>
  <c r="BB22" i="4"/>
  <c r="AY22" i="4"/>
  <c r="AX22" i="4"/>
  <c r="C23" i="4"/>
  <c r="B24" i="4"/>
  <c r="AW23" i="4"/>
  <c r="AY22" i="3"/>
  <c r="BB22" i="3"/>
  <c r="AX22" i="3"/>
  <c r="C23" i="3"/>
  <c r="B24" i="3"/>
  <c r="AW23" i="3"/>
  <c r="AY23" i="13" l="1"/>
  <c r="BB23" i="13"/>
  <c r="AX23" i="13"/>
  <c r="B25" i="13"/>
  <c r="AW24" i="13"/>
  <c r="C24" i="13"/>
  <c r="AY23" i="12"/>
  <c r="BB23" i="12"/>
  <c r="AX23" i="12" s="1"/>
  <c r="B25" i="12"/>
  <c r="AW24" i="12"/>
  <c r="C24" i="12"/>
  <c r="AX23" i="11"/>
  <c r="AY23" i="11"/>
  <c r="BB23" i="11"/>
  <c r="B25" i="11"/>
  <c r="AW24" i="11"/>
  <c r="C24" i="11"/>
  <c r="B25" i="10"/>
  <c r="AW24" i="10"/>
  <c r="C24" i="10"/>
  <c r="AY23" i="10"/>
  <c r="BB23" i="10"/>
  <c r="AX23" i="10"/>
  <c r="AY23" i="9"/>
  <c r="BB23" i="9"/>
  <c r="AX23" i="9"/>
  <c r="B25" i="9"/>
  <c r="AW24" i="9"/>
  <c r="C24" i="9"/>
  <c r="AX23" i="8"/>
  <c r="B25" i="8"/>
  <c r="AW24" i="8"/>
  <c r="C24" i="8"/>
  <c r="AY23" i="8"/>
  <c r="BB23" i="8"/>
  <c r="B25" i="7"/>
  <c r="AW24" i="7"/>
  <c r="C24" i="7"/>
  <c r="AX23" i="7"/>
  <c r="AY23" i="7"/>
  <c r="BB23" i="7"/>
  <c r="AX23" i="6"/>
  <c r="B25" i="6"/>
  <c r="AW24" i="6"/>
  <c r="C24" i="6"/>
  <c r="AY23" i="6"/>
  <c r="BB23" i="6"/>
  <c r="BB24" i="5"/>
  <c r="AY24" i="5"/>
  <c r="AX24" i="5"/>
  <c r="B26" i="5"/>
  <c r="AW25" i="5"/>
  <c r="C25" i="5"/>
  <c r="AX23" i="4"/>
  <c r="AY23" i="4"/>
  <c r="BB23" i="4"/>
  <c r="C24" i="4"/>
  <c r="AW24" i="4"/>
  <c r="B25" i="4"/>
  <c r="BB23" i="3"/>
  <c r="AY23" i="3"/>
  <c r="AX23" i="3"/>
  <c r="B25" i="3"/>
  <c r="AW24" i="3"/>
  <c r="C24" i="3"/>
  <c r="C25" i="13" l="1"/>
  <c r="B26" i="13"/>
  <c r="AW25" i="13"/>
  <c r="BB24" i="13"/>
  <c r="AX24" i="13" s="1"/>
  <c r="AY24" i="13"/>
  <c r="C25" i="12"/>
  <c r="B26" i="12"/>
  <c r="AW25" i="12"/>
  <c r="BB24" i="12"/>
  <c r="AY24" i="12"/>
  <c r="AX24" i="12"/>
  <c r="C25" i="11"/>
  <c r="AW25" i="11"/>
  <c r="B26" i="11"/>
  <c r="BB24" i="11"/>
  <c r="AY24" i="11"/>
  <c r="AX24" i="11"/>
  <c r="BB24" i="10"/>
  <c r="AY24" i="10"/>
  <c r="AX24" i="10"/>
  <c r="C25" i="10"/>
  <c r="B26" i="10"/>
  <c r="AW25" i="10"/>
  <c r="AX24" i="9"/>
  <c r="C25" i="9"/>
  <c r="B26" i="9"/>
  <c r="AW25" i="9"/>
  <c r="BB24" i="9"/>
  <c r="AY24" i="9"/>
  <c r="AX24" i="8"/>
  <c r="C25" i="8"/>
  <c r="B26" i="8"/>
  <c r="AW25" i="8"/>
  <c r="AY24" i="8"/>
  <c r="BB24" i="8"/>
  <c r="BB24" i="7"/>
  <c r="AY24" i="7"/>
  <c r="AX24" i="7"/>
  <c r="C25" i="7"/>
  <c r="B26" i="7"/>
  <c r="AW25" i="7"/>
  <c r="AX24" i="6"/>
  <c r="C25" i="6"/>
  <c r="B26" i="6"/>
  <c r="AW25" i="6"/>
  <c r="BB24" i="6"/>
  <c r="AY24" i="6"/>
  <c r="AY25" i="5"/>
  <c r="BB25" i="5"/>
  <c r="AX25" i="5"/>
  <c r="B27" i="5"/>
  <c r="AW26" i="5"/>
  <c r="C26" i="5"/>
  <c r="BB24" i="4"/>
  <c r="AY24" i="4"/>
  <c r="C25" i="4"/>
  <c r="B26" i="4"/>
  <c r="AW25" i="4"/>
  <c r="AX24" i="4"/>
  <c r="C25" i="3"/>
  <c r="B26" i="3"/>
  <c r="AW25" i="3"/>
  <c r="AY24" i="3"/>
  <c r="BB24" i="3"/>
  <c r="AX24" i="3"/>
  <c r="B27" i="13" l="1"/>
  <c r="AW26" i="13"/>
  <c r="C26" i="13"/>
  <c r="AX25" i="13"/>
  <c r="AY25" i="13"/>
  <c r="BB25" i="13"/>
  <c r="AX25" i="12"/>
  <c r="B27" i="12"/>
  <c r="AW26" i="12"/>
  <c r="C26" i="12"/>
  <c r="AY25" i="12"/>
  <c r="BB25" i="12"/>
  <c r="AX25" i="11"/>
  <c r="B27" i="11"/>
  <c r="AW26" i="11"/>
  <c r="C26" i="11"/>
  <c r="AY25" i="11"/>
  <c r="BB25" i="11"/>
  <c r="AY25" i="10"/>
  <c r="BB25" i="10"/>
  <c r="AX25" i="10"/>
  <c r="B27" i="10"/>
  <c r="AW26" i="10"/>
  <c r="C26" i="10"/>
  <c r="AX25" i="9"/>
  <c r="B27" i="9"/>
  <c r="AW26" i="9"/>
  <c r="C26" i="9"/>
  <c r="AY25" i="9"/>
  <c r="BB25" i="9"/>
  <c r="AX25" i="8"/>
  <c r="B27" i="8"/>
  <c r="AW26" i="8"/>
  <c r="C26" i="8"/>
  <c r="BB25" i="8"/>
  <c r="AY25" i="8"/>
  <c r="AY25" i="7"/>
  <c r="BB25" i="7"/>
  <c r="AX25" i="7" s="1"/>
  <c r="B27" i="7"/>
  <c r="AW26" i="7"/>
  <c r="C26" i="7"/>
  <c r="AX25" i="6"/>
  <c r="B27" i="6"/>
  <c r="AW26" i="6"/>
  <c r="C26" i="6"/>
  <c r="AY25" i="6"/>
  <c r="BB25" i="6"/>
  <c r="AX26" i="5"/>
  <c r="BB26" i="5"/>
  <c r="AY26" i="5"/>
  <c r="AW27" i="5"/>
  <c r="C27" i="5"/>
  <c r="B28" i="5"/>
  <c r="AY25" i="4"/>
  <c r="BB25" i="4"/>
  <c r="B27" i="4"/>
  <c r="AW26" i="4"/>
  <c r="C26" i="4"/>
  <c r="AX25" i="4"/>
  <c r="AX25" i="3"/>
  <c r="B27" i="3"/>
  <c r="AW26" i="3"/>
  <c r="C26" i="3"/>
  <c r="BB25" i="3"/>
  <c r="AY25" i="3"/>
  <c r="BB26" i="13" l="1"/>
  <c r="AY26" i="13"/>
  <c r="AX26" i="13"/>
  <c r="C27" i="13"/>
  <c r="B28" i="13"/>
  <c r="AW27" i="13"/>
  <c r="BB26" i="12"/>
  <c r="AY26" i="12"/>
  <c r="AX26" i="12"/>
  <c r="C27" i="12"/>
  <c r="B28" i="12"/>
  <c r="AW27" i="12"/>
  <c r="AX26" i="11"/>
  <c r="C27" i="11"/>
  <c r="AW27" i="11"/>
  <c r="B28" i="11"/>
  <c r="BB26" i="11"/>
  <c r="AY26" i="11"/>
  <c r="C27" i="10"/>
  <c r="B28" i="10"/>
  <c r="AW27" i="10"/>
  <c r="AX26" i="10"/>
  <c r="BB26" i="10"/>
  <c r="AY26" i="10"/>
  <c r="AX26" i="9"/>
  <c r="C27" i="9"/>
  <c r="B28" i="9"/>
  <c r="AW27" i="9"/>
  <c r="BB26" i="9"/>
  <c r="AY26" i="9"/>
  <c r="AX26" i="8"/>
  <c r="C27" i="8"/>
  <c r="B28" i="8"/>
  <c r="AW27" i="8"/>
  <c r="BB26" i="8"/>
  <c r="AY26" i="8"/>
  <c r="C27" i="7"/>
  <c r="B28" i="7"/>
  <c r="AW27" i="7"/>
  <c r="BB26" i="7"/>
  <c r="AX26" i="7" s="1"/>
  <c r="AY26" i="7"/>
  <c r="AX26" i="6"/>
  <c r="C27" i="6"/>
  <c r="B28" i="6"/>
  <c r="AW27" i="6"/>
  <c r="BB26" i="6"/>
  <c r="AY26" i="6"/>
  <c r="B29" i="5"/>
  <c r="AW28" i="5"/>
  <c r="C28" i="5"/>
  <c r="AY27" i="5"/>
  <c r="BB27" i="5"/>
  <c r="AX27" i="5"/>
  <c r="AX26" i="4"/>
  <c r="C27" i="4"/>
  <c r="AW27" i="4"/>
  <c r="B28" i="4"/>
  <c r="BB26" i="4"/>
  <c r="AY26" i="4"/>
  <c r="AY26" i="3"/>
  <c r="BB26" i="3"/>
  <c r="AX26" i="3"/>
  <c r="C27" i="3"/>
  <c r="B28" i="3"/>
  <c r="AW27" i="3"/>
  <c r="AY27" i="13" l="1"/>
  <c r="BB27" i="13"/>
  <c r="AX27" i="13"/>
  <c r="B29" i="13"/>
  <c r="AW28" i="13"/>
  <c r="C28" i="13"/>
  <c r="AY27" i="12"/>
  <c r="BB27" i="12"/>
  <c r="AX27" i="12"/>
  <c r="B29" i="12"/>
  <c r="AW28" i="12"/>
  <c r="C28" i="12"/>
  <c r="AX27" i="11"/>
  <c r="AY27" i="11"/>
  <c r="BB27" i="11"/>
  <c r="B29" i="11"/>
  <c r="AW28" i="11"/>
  <c r="C28" i="11"/>
  <c r="AX27" i="10"/>
  <c r="B29" i="10"/>
  <c r="AW28" i="10"/>
  <c r="C28" i="10"/>
  <c r="AY27" i="10"/>
  <c r="BB27" i="10"/>
  <c r="B29" i="9"/>
  <c r="AW28" i="9"/>
  <c r="C28" i="9"/>
  <c r="AX27" i="9"/>
  <c r="AY27" i="9"/>
  <c r="BB27" i="9"/>
  <c r="AX27" i="8"/>
  <c r="B29" i="8"/>
  <c r="AW28" i="8"/>
  <c r="C28" i="8"/>
  <c r="BB27" i="8"/>
  <c r="AY27" i="8"/>
  <c r="B29" i="7"/>
  <c r="AW28" i="7"/>
  <c r="C28" i="7"/>
  <c r="AX27" i="7"/>
  <c r="AY27" i="7"/>
  <c r="BB27" i="7"/>
  <c r="AX27" i="6"/>
  <c r="AY27" i="6"/>
  <c r="BB27" i="6"/>
  <c r="B29" i="6"/>
  <c r="AW28" i="6"/>
  <c r="C28" i="6"/>
  <c r="BB28" i="5"/>
  <c r="AY28" i="5"/>
  <c r="AX28" i="5"/>
  <c r="C29" i="5"/>
  <c r="B30" i="5"/>
  <c r="AW29" i="5"/>
  <c r="AX27" i="4"/>
  <c r="AY27" i="4"/>
  <c r="BB27" i="4"/>
  <c r="C28" i="4"/>
  <c r="B29" i="4"/>
  <c r="AW28" i="4"/>
  <c r="AY27" i="3"/>
  <c r="BB27" i="3"/>
  <c r="AX27" i="3"/>
  <c r="B29" i="3"/>
  <c r="AW28" i="3"/>
  <c r="C28" i="3"/>
  <c r="AX28" i="13" l="1"/>
  <c r="C29" i="13"/>
  <c r="B30" i="13"/>
  <c r="AW29" i="13"/>
  <c r="BB28" i="13"/>
  <c r="AY28" i="13"/>
  <c r="C29" i="12"/>
  <c r="B30" i="12"/>
  <c r="AW29" i="12"/>
  <c r="BB28" i="12"/>
  <c r="AY28" i="12"/>
  <c r="AX28" i="12"/>
  <c r="BB28" i="11"/>
  <c r="AY28" i="11"/>
  <c r="C29" i="11"/>
  <c r="AW29" i="11"/>
  <c r="B30" i="11"/>
  <c r="AX28" i="11"/>
  <c r="AX28" i="10"/>
  <c r="C29" i="10"/>
  <c r="B30" i="10"/>
  <c r="AW29" i="10"/>
  <c r="BB28" i="10"/>
  <c r="AY28" i="10"/>
  <c r="BB28" i="9"/>
  <c r="AY28" i="9"/>
  <c r="AX28" i="9"/>
  <c r="C29" i="9"/>
  <c r="B30" i="9"/>
  <c r="AW29" i="9"/>
  <c r="AX28" i="8"/>
  <c r="C29" i="8"/>
  <c r="B30" i="8"/>
  <c r="AW29" i="8"/>
  <c r="BB28" i="8"/>
  <c r="AY28" i="8"/>
  <c r="BB28" i="7"/>
  <c r="AY28" i="7"/>
  <c r="AX28" i="7"/>
  <c r="C29" i="7"/>
  <c r="B30" i="7"/>
  <c r="AW29" i="7"/>
  <c r="BB28" i="6"/>
  <c r="AY28" i="6"/>
  <c r="C29" i="6"/>
  <c r="B30" i="6"/>
  <c r="AW29" i="6"/>
  <c r="AX28" i="6"/>
  <c r="AX29" i="5"/>
  <c r="B31" i="5"/>
  <c r="AW30" i="5"/>
  <c r="C30" i="5"/>
  <c r="AY29" i="5"/>
  <c r="BB29" i="5"/>
  <c r="C29" i="4"/>
  <c r="B30" i="4"/>
  <c r="AW29" i="4"/>
  <c r="AX28" i="4"/>
  <c r="BB28" i="4"/>
  <c r="AY28" i="4"/>
  <c r="AX28" i="3"/>
  <c r="C29" i="3"/>
  <c r="B30" i="3"/>
  <c r="AW29" i="3"/>
  <c r="BB28" i="3"/>
  <c r="AY28" i="3"/>
  <c r="B31" i="13" l="1"/>
  <c r="AW30" i="13"/>
  <c r="C30" i="13"/>
  <c r="AY29" i="13"/>
  <c r="BB29" i="13"/>
  <c r="AX29" i="13"/>
  <c r="AX29" i="12"/>
  <c r="B31" i="12"/>
  <c r="AW30" i="12"/>
  <c r="C30" i="12"/>
  <c r="AY29" i="12"/>
  <c r="BB29" i="12"/>
  <c r="AX29" i="11"/>
  <c r="AY29" i="11"/>
  <c r="BB29" i="11"/>
  <c r="B31" i="11"/>
  <c r="AW30" i="11"/>
  <c r="C30" i="11"/>
  <c r="AX29" i="10"/>
  <c r="B31" i="10"/>
  <c r="AW30" i="10"/>
  <c r="C30" i="10"/>
  <c r="AY29" i="10"/>
  <c r="BB29" i="10"/>
  <c r="AY29" i="9"/>
  <c r="BB29" i="9"/>
  <c r="AX29" i="9"/>
  <c r="B31" i="9"/>
  <c r="AW30" i="9"/>
  <c r="C30" i="9"/>
  <c r="B31" i="8"/>
  <c r="AW30" i="8"/>
  <c r="C30" i="8"/>
  <c r="AX29" i="8"/>
  <c r="AY29" i="8"/>
  <c r="BB29" i="8"/>
  <c r="AY29" i="7"/>
  <c r="BB29" i="7"/>
  <c r="AX29" i="7"/>
  <c r="B31" i="7"/>
  <c r="AW30" i="7"/>
  <c r="C30" i="7"/>
  <c r="AY29" i="6"/>
  <c r="BB29" i="6"/>
  <c r="B31" i="6"/>
  <c r="AW30" i="6"/>
  <c r="C30" i="6"/>
  <c r="AX29" i="6"/>
  <c r="AX30" i="5"/>
  <c r="B32" i="5"/>
  <c r="AW31" i="5"/>
  <c r="C31" i="5"/>
  <c r="BB30" i="5"/>
  <c r="AY30" i="5"/>
  <c r="AX29" i="4"/>
  <c r="C30" i="4"/>
  <c r="AW30" i="4"/>
  <c r="B31" i="4"/>
  <c r="AY29" i="4"/>
  <c r="BB29" i="4"/>
  <c r="AX29" i="3"/>
  <c r="B31" i="3"/>
  <c r="AW30" i="3"/>
  <c r="C30" i="3"/>
  <c r="AY29" i="3"/>
  <c r="BB29" i="3"/>
  <c r="BB30" i="13" l="1"/>
  <c r="AY30" i="13"/>
  <c r="AX30" i="13"/>
  <c r="C31" i="13"/>
  <c r="B32" i="13"/>
  <c r="AW31" i="13"/>
  <c r="AX30" i="12"/>
  <c r="C31" i="12"/>
  <c r="B32" i="12"/>
  <c r="AW31" i="12"/>
  <c r="BB30" i="12"/>
  <c r="AY30" i="12"/>
  <c r="C31" i="11"/>
  <c r="B32" i="11"/>
  <c r="AW31" i="11"/>
  <c r="BB30" i="11"/>
  <c r="AY30" i="11"/>
  <c r="AX30" i="11"/>
  <c r="AX30" i="10"/>
  <c r="C31" i="10"/>
  <c r="B32" i="10"/>
  <c r="AW31" i="10"/>
  <c r="BB30" i="10"/>
  <c r="AY30" i="10"/>
  <c r="C31" i="9"/>
  <c r="B32" i="9"/>
  <c r="AW31" i="9"/>
  <c r="BB30" i="9"/>
  <c r="AY30" i="9"/>
  <c r="AX30" i="9"/>
  <c r="BB30" i="8"/>
  <c r="AY30" i="8"/>
  <c r="AX30" i="8"/>
  <c r="C31" i="8"/>
  <c r="B32" i="8"/>
  <c r="AW31" i="8"/>
  <c r="AX30" i="7"/>
  <c r="C31" i="7"/>
  <c r="B32" i="7"/>
  <c r="AW31" i="7"/>
  <c r="BB30" i="7"/>
  <c r="AY30" i="7"/>
  <c r="AX30" i="6"/>
  <c r="C31" i="6"/>
  <c r="B32" i="6"/>
  <c r="AW31" i="6"/>
  <c r="BB30" i="6"/>
  <c r="AY30" i="6"/>
  <c r="AX31" i="5"/>
  <c r="B33" i="5"/>
  <c r="AW32" i="5"/>
  <c r="C32" i="5"/>
  <c r="AY31" i="5"/>
  <c r="BB31" i="5"/>
  <c r="C31" i="4"/>
  <c r="AW31" i="4"/>
  <c r="B32" i="4"/>
  <c r="BB30" i="4"/>
  <c r="AY30" i="4"/>
  <c r="AX30" i="4"/>
  <c r="AX30" i="3"/>
  <c r="C31" i="3"/>
  <c r="B32" i="3"/>
  <c r="AW31" i="3"/>
  <c r="BB30" i="3"/>
  <c r="AY30" i="3"/>
  <c r="AY31" i="13" l="1"/>
  <c r="BB31" i="13"/>
  <c r="AX31" i="13"/>
  <c r="B33" i="13"/>
  <c r="AW32" i="13"/>
  <c r="C32" i="13"/>
  <c r="AX31" i="12"/>
  <c r="B33" i="12"/>
  <c r="AW32" i="12"/>
  <c r="C32" i="12"/>
  <c r="AY31" i="12"/>
  <c r="BB31" i="12"/>
  <c r="AX31" i="11"/>
  <c r="B33" i="11"/>
  <c r="AW32" i="11"/>
  <c r="C32" i="11"/>
  <c r="AY31" i="11"/>
  <c r="BB31" i="11"/>
  <c r="B33" i="10"/>
  <c r="AW32" i="10"/>
  <c r="C32" i="10"/>
  <c r="AX31" i="10"/>
  <c r="AY31" i="10"/>
  <c r="BB31" i="10"/>
  <c r="AX31" i="9"/>
  <c r="C32" i="9"/>
  <c r="B33" i="9"/>
  <c r="AW32" i="9"/>
  <c r="AY31" i="9"/>
  <c r="BB31" i="9"/>
  <c r="AY31" i="8"/>
  <c r="BB31" i="8"/>
  <c r="B33" i="8"/>
  <c r="AW32" i="8"/>
  <c r="C32" i="8"/>
  <c r="AX31" i="8"/>
  <c r="AX31" i="7"/>
  <c r="AY31" i="7"/>
  <c r="BB31" i="7"/>
  <c r="B33" i="7"/>
  <c r="AW32" i="7"/>
  <c r="C32" i="7"/>
  <c r="C32" i="6"/>
  <c r="B33" i="6"/>
  <c r="AW32" i="6"/>
  <c r="AY31" i="6"/>
  <c r="BB31" i="6"/>
  <c r="AX31" i="6"/>
  <c r="C33" i="5"/>
  <c r="B34" i="5"/>
  <c r="AW33" i="5"/>
  <c r="AX32" i="5"/>
  <c r="BB32" i="5"/>
  <c r="AY32" i="5"/>
  <c r="B33" i="4"/>
  <c r="AW32" i="4"/>
  <c r="C32" i="4"/>
  <c r="AX31" i="4"/>
  <c r="AY31" i="4"/>
  <c r="BB31" i="4"/>
  <c r="B33" i="3"/>
  <c r="AW32" i="3"/>
  <c r="C32" i="3"/>
  <c r="AY31" i="3"/>
  <c r="BB31" i="3"/>
  <c r="AX31" i="3"/>
  <c r="AX32" i="13" l="1"/>
  <c r="C33" i="13"/>
  <c r="B34" i="13"/>
  <c r="AW33" i="13"/>
  <c r="BB32" i="13"/>
  <c r="AY32" i="13"/>
  <c r="AX32" i="12"/>
  <c r="BB32" i="12"/>
  <c r="AY32" i="12"/>
  <c r="C33" i="12"/>
  <c r="B34" i="12"/>
  <c r="AW33" i="12"/>
  <c r="BB32" i="11"/>
  <c r="AY32" i="11"/>
  <c r="AX32" i="11"/>
  <c r="C33" i="11"/>
  <c r="B34" i="11"/>
  <c r="AW33" i="11"/>
  <c r="BB32" i="10"/>
  <c r="AY32" i="10"/>
  <c r="AX32" i="10"/>
  <c r="C33" i="10"/>
  <c r="B34" i="10"/>
  <c r="AW33" i="10"/>
  <c r="AX32" i="9"/>
  <c r="C33" i="9"/>
  <c r="B34" i="9"/>
  <c r="AW33" i="9"/>
  <c r="BB32" i="9"/>
  <c r="AY32" i="9"/>
  <c r="AX32" i="8"/>
  <c r="C33" i="8"/>
  <c r="B34" i="8"/>
  <c r="AW33" i="8"/>
  <c r="BB32" i="8"/>
  <c r="AY32" i="8"/>
  <c r="C33" i="7"/>
  <c r="B34" i="7"/>
  <c r="AW33" i="7"/>
  <c r="BB32" i="7"/>
  <c r="AY32" i="7"/>
  <c r="AX32" i="7"/>
  <c r="AX32" i="6"/>
  <c r="C33" i="6"/>
  <c r="B34" i="6"/>
  <c r="AW33" i="6"/>
  <c r="BB32" i="6"/>
  <c r="AY32" i="6"/>
  <c r="B35" i="5"/>
  <c r="AW34" i="5"/>
  <c r="C34" i="5"/>
  <c r="AY33" i="5"/>
  <c r="BB33" i="5"/>
  <c r="AX33" i="5"/>
  <c r="BB32" i="4"/>
  <c r="AY32" i="4"/>
  <c r="AX32" i="4"/>
  <c r="C33" i="4"/>
  <c r="AW33" i="4"/>
  <c r="B34" i="4"/>
  <c r="BB32" i="3"/>
  <c r="AY32" i="3"/>
  <c r="AX32" i="3"/>
  <c r="C33" i="3"/>
  <c r="B34" i="3"/>
  <c r="AW33" i="3"/>
  <c r="J33" i="3"/>
  <c r="N33" i="3" s="1"/>
  <c r="K33" i="3"/>
  <c r="B35" i="13" l="1"/>
  <c r="AW34" i="13"/>
  <c r="C34" i="13"/>
  <c r="AY33" i="13"/>
  <c r="BB33" i="13"/>
  <c r="AX33" i="13"/>
  <c r="AY33" i="12"/>
  <c r="BB33" i="12"/>
  <c r="AX33" i="12"/>
  <c r="B35" i="12"/>
  <c r="AW34" i="12"/>
  <c r="C34" i="12"/>
  <c r="AX33" i="11"/>
  <c r="B35" i="11"/>
  <c r="AW34" i="11"/>
  <c r="C34" i="11"/>
  <c r="AY33" i="11"/>
  <c r="BB33" i="11"/>
  <c r="AX33" i="10"/>
  <c r="B35" i="10"/>
  <c r="AW34" i="10"/>
  <c r="C34" i="10"/>
  <c r="AY33" i="10"/>
  <c r="BB33" i="10"/>
  <c r="C34" i="9"/>
  <c r="B35" i="9"/>
  <c r="AW34" i="9"/>
  <c r="AY33" i="9"/>
  <c r="BB33" i="9"/>
  <c r="AX33" i="9"/>
  <c r="AX33" i="8"/>
  <c r="B35" i="8"/>
  <c r="AW34" i="8"/>
  <c r="C34" i="8"/>
  <c r="AY33" i="8"/>
  <c r="BB33" i="8"/>
  <c r="B35" i="7"/>
  <c r="AW34" i="7"/>
  <c r="C34" i="7"/>
  <c r="AX33" i="7"/>
  <c r="AY33" i="7"/>
  <c r="BB33" i="7"/>
  <c r="AY33" i="6"/>
  <c r="BB33" i="6"/>
  <c r="AX33" i="6"/>
  <c r="C34" i="6"/>
  <c r="B35" i="6"/>
  <c r="AW34" i="6"/>
  <c r="AX34" i="5"/>
  <c r="BB34" i="5"/>
  <c r="AY34" i="5"/>
  <c r="C35" i="5"/>
  <c r="K35" i="5"/>
  <c r="AW35" i="5"/>
  <c r="J35" i="5"/>
  <c r="N35" i="5" s="1"/>
  <c r="AY33" i="4"/>
  <c r="BB33" i="4"/>
  <c r="C34" i="4"/>
  <c r="AW34" i="4"/>
  <c r="B35" i="4"/>
  <c r="AX33" i="4"/>
  <c r="AX33" i="3"/>
  <c r="K34" i="3"/>
  <c r="B35" i="3"/>
  <c r="AW34" i="3"/>
  <c r="J34" i="3"/>
  <c r="N34" i="3" s="1"/>
  <c r="C34" i="3"/>
  <c r="AY33" i="3"/>
  <c r="BB33" i="3"/>
  <c r="L33" i="3"/>
  <c r="BB34" i="13" l="1"/>
  <c r="AY34" i="13"/>
  <c r="AX34" i="13"/>
  <c r="C35" i="13"/>
  <c r="AW35" i="13"/>
  <c r="BB34" i="12"/>
  <c r="AY34" i="12"/>
  <c r="AX34" i="12"/>
  <c r="C35" i="12"/>
  <c r="K35" i="12"/>
  <c r="AW35" i="12"/>
  <c r="J35" i="12"/>
  <c r="N35" i="12" s="1"/>
  <c r="AX34" i="11"/>
  <c r="C35" i="11"/>
  <c r="AW35" i="11"/>
  <c r="BB34" i="11"/>
  <c r="AY34" i="11"/>
  <c r="AX34" i="10"/>
  <c r="C35" i="10"/>
  <c r="K35" i="10"/>
  <c r="AW35" i="10"/>
  <c r="J35" i="10"/>
  <c r="N35" i="10" s="1"/>
  <c r="BB34" i="10"/>
  <c r="AY34" i="10"/>
  <c r="AX34" i="9"/>
  <c r="L35" i="5"/>
  <c r="C35" i="9"/>
  <c r="AW35" i="9"/>
  <c r="BB34" i="9"/>
  <c r="AY34" i="9"/>
  <c r="AX34" i="8"/>
  <c r="C35" i="8"/>
  <c r="AW35" i="8"/>
  <c r="BB34" i="8"/>
  <c r="AY34" i="8"/>
  <c r="C35" i="7"/>
  <c r="AW35" i="7"/>
  <c r="J35" i="7"/>
  <c r="N35" i="7" s="1"/>
  <c r="K35" i="7"/>
  <c r="AX34" i="7"/>
  <c r="BB34" i="7"/>
  <c r="AY34" i="7"/>
  <c r="AX34" i="6"/>
  <c r="C35" i="6"/>
  <c r="AW35" i="6"/>
  <c r="BB34" i="6"/>
  <c r="AY34" i="6"/>
  <c r="AX35" i="5"/>
  <c r="M37" i="5" s="1"/>
  <c r="AY35" i="5"/>
  <c r="BB35" i="5"/>
  <c r="BB34" i="4"/>
  <c r="AY34" i="4"/>
  <c r="AX34" i="4"/>
  <c r="C35" i="4"/>
  <c r="AW35" i="4"/>
  <c r="C35" i="3"/>
  <c r="AW35" i="3"/>
  <c r="J35" i="3"/>
  <c r="N35" i="3" s="1"/>
  <c r="K35" i="3"/>
  <c r="AX34" i="3"/>
  <c r="BB34" i="3"/>
  <c r="AY34" i="3"/>
  <c r="L34" i="3"/>
  <c r="L35" i="12" l="1"/>
  <c r="AY35" i="13"/>
  <c r="BB35" i="13"/>
  <c r="AX35" i="13"/>
  <c r="M37" i="13" s="1"/>
  <c r="AY35" i="12"/>
  <c r="BB35" i="12"/>
  <c r="AX35" i="12"/>
  <c r="M37" i="12" s="1"/>
  <c r="AY35" i="11"/>
  <c r="BB35" i="11"/>
  <c r="L35" i="10"/>
  <c r="AX35" i="11"/>
  <c r="M37" i="11" s="1"/>
  <c r="AY35" i="10"/>
  <c r="BB35" i="10"/>
  <c r="AX35" i="10"/>
  <c r="M37" i="10" s="1"/>
  <c r="AY35" i="9"/>
  <c r="BB35" i="9"/>
  <c r="AX35" i="9"/>
  <c r="M37" i="9" s="1"/>
  <c r="AX35" i="8"/>
  <c r="M37" i="8" s="1"/>
  <c r="AY35" i="8"/>
  <c r="BB35" i="8"/>
  <c r="AX35" i="7"/>
  <c r="M37" i="7" s="1"/>
  <c r="L35" i="7"/>
  <c r="AY35" i="7"/>
  <c r="BB35" i="7"/>
  <c r="AX35" i="6"/>
  <c r="M37" i="6" s="1"/>
  <c r="AY35" i="6"/>
  <c r="BB35" i="6"/>
  <c r="AY35" i="4"/>
  <c r="BB35" i="4"/>
  <c r="AX35" i="4"/>
  <c r="M37" i="4" s="1"/>
  <c r="AX35" i="3"/>
  <c r="M37" i="3" s="1"/>
  <c r="L35" i="3"/>
  <c r="AY35" i="3"/>
  <c r="BB35" i="3"/>
  <c r="V5" i="1" l="1"/>
  <c r="U10" i="1"/>
  <c r="A2" i="16"/>
  <c r="AZ35" i="1"/>
  <c r="BA35" i="1" s="1"/>
  <c r="AZ34" i="1"/>
  <c r="AZ33" i="1"/>
  <c r="BA33" i="1" s="1"/>
  <c r="AZ32" i="1"/>
  <c r="AZ31" i="1"/>
  <c r="BA31" i="1" s="1"/>
  <c r="AZ30" i="1"/>
  <c r="AZ29" i="1"/>
  <c r="BA29" i="1" s="1"/>
  <c r="AZ28" i="1"/>
  <c r="AZ27" i="1"/>
  <c r="BA27" i="1" s="1"/>
  <c r="AZ26" i="1"/>
  <c r="AZ25" i="1"/>
  <c r="BA25" i="1" s="1"/>
  <c r="AZ24" i="1"/>
  <c r="AZ23" i="1"/>
  <c r="BA23" i="1" s="1"/>
  <c r="AZ22" i="1"/>
  <c r="BA22" i="1" s="1"/>
  <c r="AZ21" i="1"/>
  <c r="BA21" i="1" s="1"/>
  <c r="U8" i="1"/>
  <c r="AZ20" i="1"/>
  <c r="BA20" i="1" s="1"/>
  <c r="AZ19" i="1"/>
  <c r="AZ18" i="1"/>
  <c r="BA18" i="1" s="1"/>
  <c r="U5" i="1"/>
  <c r="AZ17" i="1"/>
  <c r="AZ16" i="1"/>
  <c r="BA16" i="1" s="1"/>
  <c r="AZ15" i="1"/>
  <c r="AZ14" i="1"/>
  <c r="Q13" i="1"/>
  <c r="AZ13" i="1"/>
  <c r="AZ12" i="1"/>
  <c r="BA12" i="1" s="1"/>
  <c r="AZ11" i="1"/>
  <c r="I11" i="1" s="1"/>
  <c r="AZ10" i="1"/>
  <c r="BA10" i="1" s="1"/>
  <c r="AZ9" i="1"/>
  <c r="AZ8" i="1"/>
  <c r="BA8" i="1" s="1"/>
  <c r="AZ7" i="1"/>
  <c r="AZ6" i="1"/>
  <c r="BA6" i="1" s="1"/>
  <c r="AZ5" i="1"/>
  <c r="I5" i="1" s="1"/>
  <c r="B5" i="1"/>
  <c r="E2" i="16"/>
  <c r="BA19" i="1" l="1"/>
  <c r="BA7" i="1"/>
  <c r="BA14" i="1"/>
  <c r="BA9" i="1"/>
  <c r="I10" i="1"/>
  <c r="B6" i="1"/>
  <c r="AW5" i="1"/>
  <c r="BA26" i="1"/>
  <c r="BA28" i="1"/>
  <c r="C5" i="1"/>
  <c r="BA5" i="1"/>
  <c r="BA11" i="1"/>
  <c r="BA24" i="1"/>
  <c r="BA30" i="1"/>
  <c r="BA13" i="1"/>
  <c r="BA34" i="1"/>
  <c r="BA32" i="1"/>
  <c r="BA15" i="1"/>
  <c r="BA17" i="1"/>
  <c r="AM4" i="15"/>
  <c r="AL4" i="15"/>
  <c r="AK4" i="15"/>
  <c r="AJ4" i="15"/>
  <c r="G2" i="16"/>
  <c r="AX5" i="1" l="1"/>
  <c r="C6" i="1"/>
  <c r="B7" i="1"/>
  <c r="AW6" i="1"/>
  <c r="BB5" i="1"/>
  <c r="AY5" i="1"/>
  <c r="AL17" i="15"/>
  <c r="AM17" i="15"/>
  <c r="AK17" i="15"/>
  <c r="B8" i="1" l="1"/>
  <c r="AW7" i="1"/>
  <c r="C7" i="1"/>
  <c r="AY6" i="1"/>
  <c r="I6" i="1" s="1"/>
  <c r="BB6" i="1"/>
  <c r="AX6" i="1"/>
  <c r="B1" i="14"/>
  <c r="A8" i="14" s="1"/>
  <c r="A6" i="14" s="1"/>
  <c r="BB7" i="1" l="1"/>
  <c r="AX7" i="1" s="1"/>
  <c r="AY7" i="1"/>
  <c r="I7" i="1" s="1"/>
  <c r="C8" i="1"/>
  <c r="AW8" i="1"/>
  <c r="B9" i="1"/>
  <c r="AY8" i="1" l="1"/>
  <c r="I8" i="1" s="1"/>
  <c r="BB8" i="1"/>
  <c r="AX8" i="1" s="1"/>
  <c r="B10" i="1"/>
  <c r="AW9" i="1"/>
  <c r="C9" i="1"/>
  <c r="AX9" i="1" l="1"/>
  <c r="C10" i="1"/>
  <c r="B11" i="1"/>
  <c r="AW10" i="1"/>
  <c r="BB9" i="1"/>
  <c r="AY9" i="1"/>
  <c r="I9" i="1" s="1"/>
  <c r="AY10" i="1" l="1"/>
  <c r="BB10" i="1"/>
  <c r="AX10" i="1"/>
  <c r="B12" i="1"/>
  <c r="AW11" i="1"/>
  <c r="C11" i="1"/>
  <c r="B2" i="15"/>
  <c r="B14" i="15" s="1"/>
  <c r="J20" i="15"/>
  <c r="AI4" i="15"/>
  <c r="AH4" i="15"/>
  <c r="AX11" i="1" l="1"/>
  <c r="C12" i="1"/>
  <c r="B13" i="1"/>
  <c r="AW12" i="1"/>
  <c r="BB11" i="1"/>
  <c r="AY11" i="1"/>
  <c r="B10" i="15"/>
  <c r="B13" i="15"/>
  <c r="B7" i="15"/>
  <c r="B16" i="15"/>
  <c r="B6" i="15"/>
  <c r="B9" i="15"/>
  <c r="B12" i="15"/>
  <c r="B15" i="15"/>
  <c r="B5" i="15"/>
  <c r="B8" i="15"/>
  <c r="B11" i="15"/>
  <c r="AI17" i="15"/>
  <c r="J21" i="15"/>
  <c r="J22" i="15" s="1"/>
  <c r="AJ17" i="15"/>
  <c r="AH17" i="15"/>
  <c r="B14" i="1" l="1"/>
  <c r="AW13" i="1"/>
  <c r="C13" i="1"/>
  <c r="AY12" i="1"/>
  <c r="I12" i="1" s="1"/>
  <c r="BB12" i="1"/>
  <c r="AX12" i="1" s="1"/>
  <c r="BB13" i="1" l="1"/>
  <c r="AX13" i="1" s="1"/>
  <c r="AY13" i="1"/>
  <c r="I13" i="1" s="1"/>
  <c r="C14" i="1"/>
  <c r="B15" i="1"/>
  <c r="AW14" i="1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7" i="14"/>
  <c r="B16" i="14"/>
  <c r="B13" i="14"/>
  <c r="B12" i="14"/>
  <c r="B7" i="14"/>
  <c r="B5" i="14"/>
  <c r="B3" i="14"/>
  <c r="AY14" i="1" l="1"/>
  <c r="I14" i="1" s="1"/>
  <c r="BB14" i="1"/>
  <c r="AX14" i="1" s="1"/>
  <c r="B16" i="1"/>
  <c r="AW15" i="1"/>
  <c r="C15" i="1"/>
  <c r="A20" i="14"/>
  <c r="A2" i="14"/>
  <c r="B2" i="14" s="1"/>
  <c r="A28" i="14"/>
  <c r="A17" i="14"/>
  <c r="A10" i="14"/>
  <c r="B10" i="14" s="1"/>
  <c r="A18" i="14"/>
  <c r="B18" i="14" s="1"/>
  <c r="A22" i="14"/>
  <c r="A25" i="14"/>
  <c r="A30" i="14"/>
  <c r="A3" i="14"/>
  <c r="A12" i="14"/>
  <c r="A19" i="14"/>
  <c r="A27" i="14"/>
  <c r="A23" i="14"/>
  <c r="A4" i="14"/>
  <c r="B4" i="14" s="1"/>
  <c r="A21" i="14"/>
  <c r="A24" i="14"/>
  <c r="A33" i="14"/>
  <c r="A31" i="14"/>
  <c r="B31" i="14" s="1"/>
  <c r="A26" i="14"/>
  <c r="A29" i="14"/>
  <c r="A32" i="14"/>
  <c r="B32" i="14" s="1"/>
  <c r="B17" i="1" l="1"/>
  <c r="AW16" i="1"/>
  <c r="C16" i="1"/>
  <c r="BB15" i="1"/>
  <c r="AX15" i="1" s="1"/>
  <c r="AY15" i="1"/>
  <c r="I15" i="1" s="1"/>
  <c r="A16" i="14"/>
  <c r="A15" i="14"/>
  <c r="B15" i="14" s="1"/>
  <c r="A14" i="14"/>
  <c r="B14" i="14" s="1"/>
  <c r="A11" i="14"/>
  <c r="B11" i="14" s="1"/>
  <c r="A5" i="14"/>
  <c r="A7" i="14"/>
  <c r="B6" i="14" s="1"/>
  <c r="A9" i="14"/>
  <c r="B9" i="14" s="1"/>
  <c r="A13" i="14"/>
  <c r="B8" i="14"/>
  <c r="AV6" i="9" l="1"/>
  <c r="AV34" i="13"/>
  <c r="AV28" i="13"/>
  <c r="AV22" i="13"/>
  <c r="AV16" i="13"/>
  <c r="AV10" i="13"/>
  <c r="AV33" i="13"/>
  <c r="AV27" i="13"/>
  <c r="AV21" i="13"/>
  <c r="AV15" i="13"/>
  <c r="AV9" i="13"/>
  <c r="AV26" i="13"/>
  <c r="AV31" i="13"/>
  <c r="AV25" i="13"/>
  <c r="AV19" i="13"/>
  <c r="AV13" i="13"/>
  <c r="AV7" i="13"/>
  <c r="AV32" i="13"/>
  <c r="AV20" i="13"/>
  <c r="AV14" i="13"/>
  <c r="AV8" i="13"/>
  <c r="AV30" i="13"/>
  <c r="AU30" i="13" s="1"/>
  <c r="AV24" i="13"/>
  <c r="AV18" i="13"/>
  <c r="AV12" i="13"/>
  <c r="AV6" i="13"/>
  <c r="AV35" i="13"/>
  <c r="AV29" i="13"/>
  <c r="AV23" i="13"/>
  <c r="AV17" i="13"/>
  <c r="AV11" i="13"/>
  <c r="AV5" i="13"/>
  <c r="AV33" i="12"/>
  <c r="AV27" i="12"/>
  <c r="AV21" i="12"/>
  <c r="AV15" i="12"/>
  <c r="AV9" i="12"/>
  <c r="AV32" i="12"/>
  <c r="AV26" i="12"/>
  <c r="AV20" i="12"/>
  <c r="AV14" i="12"/>
  <c r="AV8" i="12"/>
  <c r="AV28" i="12"/>
  <c r="AV16" i="12"/>
  <c r="AV31" i="12"/>
  <c r="AV25" i="12"/>
  <c r="AV19" i="12"/>
  <c r="AV13" i="12"/>
  <c r="AV7" i="12"/>
  <c r="AV34" i="12"/>
  <c r="AV22" i="12"/>
  <c r="AV10" i="12"/>
  <c r="AV30" i="12"/>
  <c r="AV24" i="12"/>
  <c r="AV18" i="12"/>
  <c r="AV12" i="12"/>
  <c r="AV6" i="12"/>
  <c r="AV35" i="12"/>
  <c r="AV29" i="12"/>
  <c r="AV23" i="12"/>
  <c r="AV17" i="12"/>
  <c r="AV11" i="12"/>
  <c r="AV5" i="12"/>
  <c r="AV34" i="11"/>
  <c r="AV22" i="11"/>
  <c r="AV10" i="11"/>
  <c r="AV33" i="11"/>
  <c r="AV15" i="11"/>
  <c r="AV14" i="11"/>
  <c r="AV28" i="11"/>
  <c r="AV16" i="11"/>
  <c r="AV27" i="11"/>
  <c r="AV26" i="11"/>
  <c r="AV31" i="11"/>
  <c r="AV21" i="11"/>
  <c r="AV9" i="11"/>
  <c r="AV32" i="11"/>
  <c r="AV20" i="11"/>
  <c r="AV8" i="11"/>
  <c r="AV25" i="11"/>
  <c r="AV19" i="11"/>
  <c r="AV13" i="11"/>
  <c r="AV7" i="11"/>
  <c r="AV30" i="11"/>
  <c r="AV24" i="11"/>
  <c r="AV18" i="11"/>
  <c r="AV12" i="11"/>
  <c r="AV6" i="11"/>
  <c r="AV35" i="11"/>
  <c r="AV29" i="11"/>
  <c r="AV23" i="11"/>
  <c r="AV17" i="11"/>
  <c r="AV11" i="11"/>
  <c r="AV5" i="11"/>
  <c r="AV34" i="10"/>
  <c r="AV28" i="10"/>
  <c r="AV22" i="10"/>
  <c r="AV16" i="10"/>
  <c r="AV10" i="10"/>
  <c r="AV33" i="10"/>
  <c r="AV27" i="10"/>
  <c r="AV21" i="10"/>
  <c r="AV15" i="10"/>
  <c r="AV9" i="10"/>
  <c r="AV32" i="10"/>
  <c r="AV31" i="10"/>
  <c r="AV25" i="10"/>
  <c r="AV19" i="10"/>
  <c r="AV13" i="10"/>
  <c r="AV7" i="10"/>
  <c r="AV10" i="9"/>
  <c r="AU10" i="9" s="1"/>
  <c r="AV16" i="8"/>
  <c r="AU16" i="8" s="1"/>
  <c r="AV26" i="10"/>
  <c r="AV20" i="10"/>
  <c r="AV14" i="10"/>
  <c r="AV8" i="10"/>
  <c r="AV30" i="10"/>
  <c r="AV24" i="10"/>
  <c r="AV18" i="10"/>
  <c r="AV12" i="10"/>
  <c r="AV6" i="10"/>
  <c r="AV35" i="10"/>
  <c r="AV29" i="10"/>
  <c r="AV23" i="10"/>
  <c r="AV17" i="10"/>
  <c r="AV11" i="10"/>
  <c r="AV5" i="10"/>
  <c r="AV34" i="9"/>
  <c r="AV16" i="9"/>
  <c r="AV21" i="9"/>
  <c r="AV15" i="8"/>
  <c r="AU15" i="8" s="1"/>
  <c r="AV32" i="9"/>
  <c r="AV26" i="9"/>
  <c r="AV20" i="9"/>
  <c r="AV14" i="9"/>
  <c r="AV8" i="9"/>
  <c r="AV22" i="8"/>
  <c r="AU22" i="8" s="1"/>
  <c r="AV22" i="9"/>
  <c r="AV33" i="9"/>
  <c r="AV27" i="9"/>
  <c r="AV15" i="9"/>
  <c r="AV9" i="9"/>
  <c r="AV10" i="8"/>
  <c r="AU10" i="8" s="1"/>
  <c r="AV31" i="9"/>
  <c r="AV25" i="9"/>
  <c r="AV19" i="9"/>
  <c r="AV13" i="9"/>
  <c r="AV7" i="9"/>
  <c r="AV28" i="9"/>
  <c r="AV34" i="8"/>
  <c r="AU34" i="8" s="1"/>
  <c r="AV9" i="8"/>
  <c r="AU9" i="8" s="1"/>
  <c r="AV30" i="9"/>
  <c r="AV24" i="9"/>
  <c r="AV18" i="9"/>
  <c r="AV12" i="9"/>
  <c r="AV6" i="8"/>
  <c r="AU6" i="8" s="1"/>
  <c r="AV28" i="8"/>
  <c r="AU28" i="8" s="1"/>
  <c r="AV35" i="9"/>
  <c r="AV29" i="9"/>
  <c r="AV23" i="9"/>
  <c r="AV17" i="9"/>
  <c r="AV11" i="9"/>
  <c r="AV5" i="9"/>
  <c r="AV33" i="8"/>
  <c r="AV27" i="8"/>
  <c r="AV21" i="8"/>
  <c r="AV26" i="8"/>
  <c r="AV14" i="8"/>
  <c r="AV31" i="8"/>
  <c r="AV25" i="8"/>
  <c r="AV19" i="8"/>
  <c r="AV13" i="8"/>
  <c r="AV7" i="8"/>
  <c r="AV32" i="8"/>
  <c r="AV20" i="8"/>
  <c r="AV8" i="8"/>
  <c r="AV30" i="8"/>
  <c r="AV24" i="8"/>
  <c r="AV18" i="8"/>
  <c r="AV12" i="8"/>
  <c r="AV5" i="7"/>
  <c r="AU5" i="7" s="1"/>
  <c r="AV35" i="8"/>
  <c r="AV29" i="8"/>
  <c r="AV23" i="8"/>
  <c r="AV17" i="8"/>
  <c r="AV11" i="8"/>
  <c r="AV5" i="8"/>
  <c r="AV22" i="7"/>
  <c r="AV27" i="7"/>
  <c r="AV9" i="7"/>
  <c r="AV32" i="7"/>
  <c r="AV26" i="7"/>
  <c r="AV20" i="7"/>
  <c r="AV14" i="7"/>
  <c r="AV8" i="7"/>
  <c r="AV21" i="7"/>
  <c r="AV31" i="7"/>
  <c r="AV25" i="7"/>
  <c r="AV19" i="7"/>
  <c r="AV13" i="7"/>
  <c r="AV7" i="7"/>
  <c r="AV34" i="7"/>
  <c r="AV28" i="7"/>
  <c r="AV16" i="7"/>
  <c r="AV10" i="7"/>
  <c r="AV33" i="7"/>
  <c r="AV15" i="7"/>
  <c r="AV30" i="7"/>
  <c r="AV24" i="7"/>
  <c r="AV18" i="7"/>
  <c r="AV12" i="7"/>
  <c r="AV6" i="7"/>
  <c r="AV35" i="7"/>
  <c r="AV29" i="7"/>
  <c r="AV23" i="7"/>
  <c r="AV17" i="7"/>
  <c r="AV11" i="7"/>
  <c r="AV33" i="6"/>
  <c r="AV27" i="6"/>
  <c r="AV21" i="6"/>
  <c r="AV15" i="6"/>
  <c r="AV9" i="6"/>
  <c r="AV28" i="6"/>
  <c r="AV16" i="6"/>
  <c r="AV32" i="6"/>
  <c r="AV26" i="6"/>
  <c r="AV20" i="6"/>
  <c r="AV14" i="6"/>
  <c r="AV8" i="6"/>
  <c r="AV31" i="6"/>
  <c r="AV25" i="6"/>
  <c r="AU25" i="6" s="1"/>
  <c r="AV19" i="6"/>
  <c r="AV13" i="6"/>
  <c r="AV7" i="6"/>
  <c r="AV34" i="6"/>
  <c r="AV22" i="6"/>
  <c r="AV10" i="6"/>
  <c r="AV30" i="6"/>
  <c r="AV24" i="6"/>
  <c r="AU24" i="6" s="1"/>
  <c r="AV18" i="6"/>
  <c r="AV12" i="6"/>
  <c r="AV6" i="6"/>
  <c r="AV35" i="6"/>
  <c r="AV29" i="6"/>
  <c r="AV23" i="6"/>
  <c r="AV17" i="6"/>
  <c r="AV11" i="6"/>
  <c r="AV5" i="6"/>
  <c r="AV34" i="5"/>
  <c r="AV28" i="5"/>
  <c r="AV16" i="5"/>
  <c r="AV27" i="5"/>
  <c r="AV21" i="5"/>
  <c r="AV15" i="5"/>
  <c r="AV9" i="5"/>
  <c r="AV32" i="5"/>
  <c r="AV26" i="5"/>
  <c r="AV20" i="5"/>
  <c r="AV14" i="5"/>
  <c r="AV8" i="5"/>
  <c r="AV31" i="5"/>
  <c r="AV25" i="5"/>
  <c r="AV19" i="5"/>
  <c r="AV13" i="5"/>
  <c r="AV7" i="5"/>
  <c r="AV22" i="5"/>
  <c r="AV10" i="5"/>
  <c r="AV33" i="5"/>
  <c r="AV30" i="5"/>
  <c r="AV24" i="5"/>
  <c r="AV18" i="5"/>
  <c r="AV12" i="5"/>
  <c r="AV6" i="5"/>
  <c r="AV35" i="5"/>
  <c r="AV29" i="5"/>
  <c r="AV23" i="5"/>
  <c r="AV17" i="5"/>
  <c r="AV11" i="5"/>
  <c r="AV5" i="5"/>
  <c r="AV33" i="4"/>
  <c r="AV27" i="4"/>
  <c r="AV21" i="4"/>
  <c r="AV15" i="4"/>
  <c r="AV9" i="4"/>
  <c r="AV28" i="4"/>
  <c r="AV26" i="4"/>
  <c r="AV20" i="4"/>
  <c r="AV14" i="4"/>
  <c r="AV8" i="4"/>
  <c r="AV34" i="4"/>
  <c r="AU34" i="4" s="1"/>
  <c r="AV22" i="4"/>
  <c r="AV10" i="4"/>
  <c r="AV31" i="4"/>
  <c r="AV25" i="4"/>
  <c r="AV19" i="4"/>
  <c r="AV13" i="4"/>
  <c r="AV7" i="4"/>
  <c r="AV16" i="4"/>
  <c r="AV32" i="4"/>
  <c r="AV30" i="4"/>
  <c r="AV24" i="4"/>
  <c r="AV18" i="4"/>
  <c r="AV12" i="4"/>
  <c r="AV6" i="4"/>
  <c r="AV35" i="4"/>
  <c r="AV29" i="4"/>
  <c r="AV23" i="4"/>
  <c r="AV17" i="4"/>
  <c r="AV11" i="4"/>
  <c r="AV5" i="4"/>
  <c r="AV34" i="3"/>
  <c r="AV28" i="3"/>
  <c r="AV22" i="3"/>
  <c r="AV16" i="3"/>
  <c r="AV10" i="3"/>
  <c r="AV33" i="3"/>
  <c r="AV27" i="3"/>
  <c r="AV21" i="3"/>
  <c r="AV15" i="3"/>
  <c r="AV9" i="3"/>
  <c r="AV32" i="3"/>
  <c r="AV26" i="3"/>
  <c r="AV20" i="3"/>
  <c r="AV14" i="3"/>
  <c r="AV8" i="3"/>
  <c r="AV31" i="3"/>
  <c r="AV25" i="3"/>
  <c r="AV19" i="3"/>
  <c r="AV13" i="3"/>
  <c r="AV7" i="3"/>
  <c r="AV30" i="3"/>
  <c r="AV24" i="3"/>
  <c r="AV18" i="3"/>
  <c r="AV12" i="3"/>
  <c r="AV6" i="3"/>
  <c r="AV35" i="3"/>
  <c r="AV29" i="3"/>
  <c r="AV23" i="3"/>
  <c r="AV17" i="3"/>
  <c r="AV11" i="3"/>
  <c r="AV5" i="3"/>
  <c r="AV16" i="1"/>
  <c r="AV15" i="1"/>
  <c r="AV10" i="1"/>
  <c r="AV11" i="1"/>
  <c r="AV9" i="1"/>
  <c r="AV14" i="1"/>
  <c r="AV8" i="1"/>
  <c r="AY16" i="1"/>
  <c r="I16" i="1" s="1"/>
  <c r="BB16" i="1"/>
  <c r="AV13" i="1"/>
  <c r="AV7" i="1"/>
  <c r="AV5" i="1"/>
  <c r="AV12" i="1"/>
  <c r="AV6" i="1"/>
  <c r="B18" i="1"/>
  <c r="AW17" i="1"/>
  <c r="AV17" i="1"/>
  <c r="AU17" i="1" s="1"/>
  <c r="C17" i="1"/>
  <c r="M8" i="1" l="1"/>
  <c r="AU8" i="1"/>
  <c r="M14" i="3"/>
  <c r="AU14" i="3"/>
  <c r="M30" i="4"/>
  <c r="AU30" i="4"/>
  <c r="M24" i="5"/>
  <c r="AU24" i="5"/>
  <c r="M17" i="6"/>
  <c r="AU17" i="6"/>
  <c r="M9" i="6"/>
  <c r="AU9" i="6"/>
  <c r="M25" i="7"/>
  <c r="AU25" i="7"/>
  <c r="M32" i="8"/>
  <c r="AU32" i="8"/>
  <c r="M20" i="10"/>
  <c r="AU20" i="10"/>
  <c r="M20" i="11"/>
  <c r="AU20" i="11"/>
  <c r="M26" i="10"/>
  <c r="AU26" i="10"/>
  <c r="M27" i="10"/>
  <c r="AU27" i="10"/>
  <c r="AU7" i="11"/>
  <c r="M7" i="11" s="1"/>
  <c r="M22" i="11"/>
  <c r="AU22" i="11"/>
  <c r="M21" i="12"/>
  <c r="AU21" i="12"/>
  <c r="M30" i="7"/>
  <c r="AU30" i="7"/>
  <c r="M21" i="8"/>
  <c r="AU21" i="8"/>
  <c r="M21" i="9"/>
  <c r="AU21" i="9"/>
  <c r="M31" i="10"/>
  <c r="AU31" i="10"/>
  <c r="M6" i="11"/>
  <c r="AU6" i="11"/>
  <c r="M28" i="11"/>
  <c r="AU28" i="11"/>
  <c r="M35" i="12"/>
  <c r="AU35" i="12"/>
  <c r="M20" i="12"/>
  <c r="AU20" i="12"/>
  <c r="M27" i="12"/>
  <c r="AU27" i="12"/>
  <c r="AU29" i="13"/>
  <c r="M29" i="13" s="1"/>
  <c r="M13" i="13"/>
  <c r="AU13" i="13"/>
  <c r="M15" i="13"/>
  <c r="AU15" i="13"/>
  <c r="M22" i="13"/>
  <c r="AU22" i="13"/>
  <c r="M12" i="1"/>
  <c r="AU12" i="1"/>
  <c r="M7" i="3"/>
  <c r="AU7" i="3"/>
  <c r="M28" i="3"/>
  <c r="AU28" i="3"/>
  <c r="M14" i="4"/>
  <c r="AU14" i="4"/>
  <c r="M13" i="5"/>
  <c r="AU13" i="5"/>
  <c r="M18" i="6"/>
  <c r="AU18" i="6"/>
  <c r="M17" i="7"/>
  <c r="AU17" i="7"/>
  <c r="M26" i="7"/>
  <c r="AU26" i="7"/>
  <c r="M32" i="9"/>
  <c r="AU32" i="9"/>
  <c r="M12" i="10"/>
  <c r="AU12" i="10"/>
  <c r="M21" i="10"/>
  <c r="AU21" i="10"/>
  <c r="M30" i="11"/>
  <c r="AU30" i="11"/>
  <c r="M23" i="12"/>
  <c r="AU23" i="12"/>
  <c r="M8" i="12"/>
  <c r="AU8" i="12"/>
  <c r="M17" i="13"/>
  <c r="AU17" i="13"/>
  <c r="M32" i="13"/>
  <c r="AU32" i="13"/>
  <c r="M14" i="1"/>
  <c r="AU14" i="1"/>
  <c r="M13" i="3"/>
  <c r="AU13" i="3"/>
  <c r="M34" i="3"/>
  <c r="AU34" i="3"/>
  <c r="M31" i="4"/>
  <c r="AU31" i="4"/>
  <c r="M29" i="5"/>
  <c r="AU29" i="5"/>
  <c r="M26" i="5"/>
  <c r="AU26" i="5"/>
  <c r="M23" i="6"/>
  <c r="AU23" i="6"/>
  <c r="M13" i="6"/>
  <c r="AU13" i="6"/>
  <c r="M23" i="7"/>
  <c r="AU23" i="7"/>
  <c r="M28" i="7"/>
  <c r="AU28" i="7"/>
  <c r="M32" i="7"/>
  <c r="AU32" i="7"/>
  <c r="M18" i="8"/>
  <c r="AU18" i="8"/>
  <c r="M26" i="8"/>
  <c r="AU26" i="8"/>
  <c r="M12" i="9"/>
  <c r="AU12" i="9"/>
  <c r="M17" i="10"/>
  <c r="AU17" i="10"/>
  <c r="M25" i="10"/>
  <c r="AU25" i="10"/>
  <c r="M35" i="11"/>
  <c r="AU35" i="11"/>
  <c r="M16" i="11"/>
  <c r="AU16" i="11"/>
  <c r="M30" i="12"/>
  <c r="AU30" i="12"/>
  <c r="M14" i="12"/>
  <c r="AU14" i="12"/>
  <c r="M24" i="13"/>
  <c r="AU24" i="13"/>
  <c r="M7" i="13"/>
  <c r="AU7" i="13"/>
  <c r="M16" i="13"/>
  <c r="AU16" i="13"/>
  <c r="M7" i="1"/>
  <c r="AU7" i="1"/>
  <c r="M11" i="3"/>
  <c r="AU11" i="3"/>
  <c r="M26" i="3"/>
  <c r="AU26" i="3"/>
  <c r="M6" i="4"/>
  <c r="AU6" i="4"/>
  <c r="M26" i="4"/>
  <c r="AU26" i="4"/>
  <c r="M33" i="5"/>
  <c r="AU33" i="5"/>
  <c r="M28" i="5"/>
  <c r="AU28" i="5"/>
  <c r="M19" i="6"/>
  <c r="AU19" i="6"/>
  <c r="M29" i="7"/>
  <c r="AU29" i="7"/>
  <c r="M9" i="7"/>
  <c r="AU9" i="7"/>
  <c r="M13" i="8"/>
  <c r="AU13" i="8"/>
  <c r="M18" i="9"/>
  <c r="AU18" i="9"/>
  <c r="M9" i="9"/>
  <c r="AU9" i="9"/>
  <c r="M23" i="10"/>
  <c r="AU23" i="10"/>
  <c r="M33" i="10"/>
  <c r="AU33" i="10"/>
  <c r="M13" i="11"/>
  <c r="AU13" i="11"/>
  <c r="M9" i="11"/>
  <c r="AU9" i="11"/>
  <c r="M10" i="12"/>
  <c r="AU10" i="12"/>
  <c r="M17" i="3"/>
  <c r="AU17" i="3"/>
  <c r="M10" i="3"/>
  <c r="AU10" i="3"/>
  <c r="M22" i="4"/>
  <c r="AU22" i="4"/>
  <c r="AU6" i="5"/>
  <c r="M6" i="5" s="1"/>
  <c r="M34" i="5"/>
  <c r="AU34" i="5"/>
  <c r="M10" i="6"/>
  <c r="AU10" i="6"/>
  <c r="M32" i="6"/>
  <c r="AU32" i="6"/>
  <c r="M27" i="6"/>
  <c r="AU27" i="6"/>
  <c r="M35" i="7"/>
  <c r="AU35" i="7"/>
  <c r="M15" i="7"/>
  <c r="AU15" i="7"/>
  <c r="M7" i="7"/>
  <c r="AU7" i="7"/>
  <c r="M8" i="7"/>
  <c r="AU8" i="7"/>
  <c r="M27" i="7"/>
  <c r="AU27" i="7"/>
  <c r="M29" i="8"/>
  <c r="AU29" i="8"/>
  <c r="M30" i="8"/>
  <c r="AU30" i="8"/>
  <c r="M19" i="8"/>
  <c r="AU19" i="8"/>
  <c r="M27" i="8"/>
  <c r="AU27" i="8"/>
  <c r="M29" i="9"/>
  <c r="AU29" i="9"/>
  <c r="M24" i="9"/>
  <c r="AU24" i="9"/>
  <c r="M13" i="9"/>
  <c r="AU13" i="9"/>
  <c r="M15" i="9"/>
  <c r="AU15" i="9"/>
  <c r="M14" i="9"/>
  <c r="AU14" i="9"/>
  <c r="M16" i="9"/>
  <c r="AU16" i="9"/>
  <c r="M29" i="10"/>
  <c r="AU29" i="10"/>
  <c r="M30" i="10"/>
  <c r="AU30" i="10"/>
  <c r="M32" i="10"/>
  <c r="AU32" i="10"/>
  <c r="M10" i="10"/>
  <c r="AU10" i="10"/>
  <c r="M11" i="11"/>
  <c r="AU11" i="11"/>
  <c r="M12" i="11"/>
  <c r="AU12" i="11"/>
  <c r="M19" i="11"/>
  <c r="AU19" i="11"/>
  <c r="M21" i="11"/>
  <c r="AU21" i="11"/>
  <c r="M14" i="11"/>
  <c r="AU14" i="11"/>
  <c r="M6" i="12"/>
  <c r="AU6" i="12"/>
  <c r="M22" i="12"/>
  <c r="AU22" i="12"/>
  <c r="M31" i="12"/>
  <c r="AU31" i="12"/>
  <c r="M26" i="12"/>
  <c r="AU26" i="12"/>
  <c r="M33" i="12"/>
  <c r="AU33" i="12"/>
  <c r="M35" i="13"/>
  <c r="AU35" i="13"/>
  <c r="M8" i="13"/>
  <c r="AU8" i="13"/>
  <c r="M19" i="13"/>
  <c r="AU19" i="13"/>
  <c r="M21" i="13"/>
  <c r="AU21" i="13"/>
  <c r="M28" i="13"/>
  <c r="AU28" i="13"/>
  <c r="M35" i="3"/>
  <c r="AU35" i="3"/>
  <c r="M29" i="4"/>
  <c r="AU29" i="4"/>
  <c r="M21" i="4"/>
  <c r="AU21" i="4"/>
  <c r="M20" i="5"/>
  <c r="AU20" i="5"/>
  <c r="M7" i="6"/>
  <c r="AU7" i="6"/>
  <c r="M18" i="7"/>
  <c r="AU18" i="7"/>
  <c r="M11" i="8"/>
  <c r="AU11" i="8"/>
  <c r="M14" i="8"/>
  <c r="AU14" i="8"/>
  <c r="M22" i="9"/>
  <c r="AU22" i="9"/>
  <c r="M19" i="10"/>
  <c r="AU19" i="10"/>
  <c r="M29" i="11"/>
  <c r="AU29" i="11"/>
  <c r="M10" i="11"/>
  <c r="AU10" i="11"/>
  <c r="M13" i="12"/>
  <c r="AU13" i="12"/>
  <c r="M15" i="12"/>
  <c r="AU15" i="12"/>
  <c r="M18" i="13"/>
  <c r="AU18" i="13"/>
  <c r="M10" i="13"/>
  <c r="AU10" i="13"/>
  <c r="M20" i="3"/>
  <c r="AU20" i="3"/>
  <c r="M35" i="4"/>
  <c r="AU35" i="4"/>
  <c r="M20" i="4"/>
  <c r="AU20" i="4"/>
  <c r="M19" i="5"/>
  <c r="AU19" i="5"/>
  <c r="M20" i="6"/>
  <c r="AU20" i="6"/>
  <c r="M24" i="7"/>
  <c r="AU24" i="7"/>
  <c r="M31" i="7"/>
  <c r="AU31" i="7"/>
  <c r="M17" i="8"/>
  <c r="AU17" i="8"/>
  <c r="M7" i="8"/>
  <c r="AU7" i="8"/>
  <c r="M17" i="9"/>
  <c r="AU17" i="9"/>
  <c r="M28" i="9"/>
  <c r="AU28" i="9"/>
  <c r="M18" i="10"/>
  <c r="AU18" i="10"/>
  <c r="M34" i="10"/>
  <c r="AU34" i="10"/>
  <c r="M32" i="11"/>
  <c r="AU32" i="11"/>
  <c r="M29" i="12"/>
  <c r="AU29" i="12"/>
  <c r="M19" i="12"/>
  <c r="AU19" i="12"/>
  <c r="M23" i="13"/>
  <c r="AU23" i="13"/>
  <c r="M9" i="13"/>
  <c r="AU9" i="13"/>
  <c r="M9" i="1"/>
  <c r="AU9" i="1"/>
  <c r="M19" i="3"/>
  <c r="AU19" i="3"/>
  <c r="M16" i="4"/>
  <c r="AU16" i="4"/>
  <c r="M33" i="4"/>
  <c r="AU33" i="4"/>
  <c r="M25" i="5"/>
  <c r="AU25" i="5"/>
  <c r="M29" i="6"/>
  <c r="AU29" i="6"/>
  <c r="M26" i="6"/>
  <c r="AU26" i="6"/>
  <c r="M34" i="7"/>
  <c r="AU34" i="7"/>
  <c r="M24" i="8"/>
  <c r="AU24" i="8"/>
  <c r="M7" i="9"/>
  <c r="AU7" i="9"/>
  <c r="M25" i="12"/>
  <c r="AU25" i="12"/>
  <c r="M13" i="1"/>
  <c r="AU13" i="1"/>
  <c r="M18" i="3"/>
  <c r="AU18" i="3"/>
  <c r="M32" i="3"/>
  <c r="AU32" i="3"/>
  <c r="M12" i="4"/>
  <c r="AU12" i="4"/>
  <c r="M28" i="4"/>
  <c r="AU28" i="4"/>
  <c r="M10" i="5"/>
  <c r="AU10" i="5"/>
  <c r="M9" i="5"/>
  <c r="AU9" i="5"/>
  <c r="AU10" i="1"/>
  <c r="M10" i="1" s="1"/>
  <c r="M24" i="3"/>
  <c r="AU24" i="3"/>
  <c r="M31" i="3"/>
  <c r="AU31" i="3"/>
  <c r="M9" i="3"/>
  <c r="AU9" i="3"/>
  <c r="M16" i="3"/>
  <c r="AU16" i="3"/>
  <c r="M17" i="4"/>
  <c r="AU17" i="4"/>
  <c r="M18" i="4"/>
  <c r="AU18" i="4"/>
  <c r="M13" i="4"/>
  <c r="AU13" i="4"/>
  <c r="M9" i="4"/>
  <c r="AU9" i="4"/>
  <c r="M11" i="5"/>
  <c r="AU11" i="5"/>
  <c r="M12" i="5"/>
  <c r="AU12" i="5"/>
  <c r="M22" i="5"/>
  <c r="AU22" i="5"/>
  <c r="M8" i="5"/>
  <c r="AU8" i="5"/>
  <c r="M15" i="5"/>
  <c r="AU15" i="5"/>
  <c r="M6" i="6"/>
  <c r="AU6" i="6"/>
  <c r="M22" i="6"/>
  <c r="AU22" i="6"/>
  <c r="M31" i="6"/>
  <c r="AU31" i="6"/>
  <c r="M16" i="6"/>
  <c r="AU16" i="6"/>
  <c r="M33" i="6"/>
  <c r="AU33" i="6"/>
  <c r="M6" i="7"/>
  <c r="AU6" i="7"/>
  <c r="M33" i="7"/>
  <c r="AU33" i="7"/>
  <c r="M13" i="7"/>
  <c r="AU13" i="7"/>
  <c r="M14" i="7"/>
  <c r="AU14" i="7"/>
  <c r="M22" i="7"/>
  <c r="AU22" i="7"/>
  <c r="M35" i="8"/>
  <c r="AU35" i="8"/>
  <c r="M8" i="8"/>
  <c r="AU8" i="8"/>
  <c r="M25" i="8"/>
  <c r="AU25" i="8"/>
  <c r="M33" i="8"/>
  <c r="AU33" i="8"/>
  <c r="M35" i="9"/>
  <c r="AU35" i="9"/>
  <c r="M30" i="9"/>
  <c r="AU30" i="9"/>
  <c r="M19" i="9"/>
  <c r="AU19" i="9"/>
  <c r="M27" i="9"/>
  <c r="AU27" i="9"/>
  <c r="M20" i="9"/>
  <c r="AU20" i="9"/>
  <c r="M34" i="9"/>
  <c r="AU34" i="9"/>
  <c r="M35" i="10"/>
  <c r="AU35" i="10"/>
  <c r="M8" i="10"/>
  <c r="AU8" i="10"/>
  <c r="M7" i="10"/>
  <c r="AU7" i="10"/>
  <c r="M9" i="10"/>
  <c r="AU9" i="10"/>
  <c r="M16" i="10"/>
  <c r="AU16" i="10"/>
  <c r="M17" i="11"/>
  <c r="AU17" i="11"/>
  <c r="M18" i="11"/>
  <c r="AU18" i="11"/>
  <c r="M25" i="11"/>
  <c r="AU25" i="11"/>
  <c r="M31" i="11"/>
  <c r="AU31" i="11"/>
  <c r="M15" i="11"/>
  <c r="AU15" i="11"/>
  <c r="M11" i="12"/>
  <c r="AU11" i="12"/>
  <c r="M12" i="12"/>
  <c r="AU12" i="12"/>
  <c r="M34" i="12"/>
  <c r="AU34" i="12"/>
  <c r="M16" i="12"/>
  <c r="AU16" i="12"/>
  <c r="M32" i="12"/>
  <c r="AU32" i="12"/>
  <c r="M6" i="13"/>
  <c r="AU6" i="13"/>
  <c r="M14" i="13"/>
  <c r="AU14" i="13"/>
  <c r="M25" i="13"/>
  <c r="AU25" i="13"/>
  <c r="M27" i="13"/>
  <c r="AU27" i="13"/>
  <c r="M34" i="13"/>
  <c r="AU34" i="13"/>
  <c r="M16" i="1"/>
  <c r="AU16" i="1"/>
  <c r="M21" i="3"/>
  <c r="AU21" i="3"/>
  <c r="M25" i="4"/>
  <c r="AU25" i="4"/>
  <c r="M23" i="5"/>
  <c r="AU23" i="5"/>
  <c r="M27" i="5"/>
  <c r="AU27" i="5"/>
  <c r="AU14" i="6"/>
  <c r="M14" i="6" s="1"/>
  <c r="M16" i="7"/>
  <c r="AU16" i="7"/>
  <c r="M12" i="8"/>
  <c r="AU12" i="8"/>
  <c r="M11" i="9"/>
  <c r="AU11" i="9"/>
  <c r="M31" i="9"/>
  <c r="AU31" i="9"/>
  <c r="M11" i="10"/>
  <c r="AU11" i="10"/>
  <c r="M28" i="10"/>
  <c r="AU28" i="10"/>
  <c r="M27" i="11"/>
  <c r="AU27" i="11"/>
  <c r="M24" i="12"/>
  <c r="AU24" i="12"/>
  <c r="M26" i="13"/>
  <c r="AU26" i="13"/>
  <c r="M6" i="3"/>
  <c r="AU6" i="3"/>
  <c r="M27" i="3"/>
  <c r="AU27" i="3"/>
  <c r="M32" i="4"/>
  <c r="AU32" i="4"/>
  <c r="M27" i="4"/>
  <c r="AU27" i="4"/>
  <c r="M30" i="5"/>
  <c r="AU30" i="5"/>
  <c r="M16" i="5"/>
  <c r="AU16" i="5"/>
  <c r="M15" i="6"/>
  <c r="AU15" i="6"/>
  <c r="M12" i="3"/>
  <c r="AU12" i="3"/>
  <c r="M33" i="3"/>
  <c r="AU33" i="3"/>
  <c r="M10" i="4"/>
  <c r="AU10" i="4"/>
  <c r="M35" i="5"/>
  <c r="AU35" i="5"/>
  <c r="M32" i="5"/>
  <c r="AU32" i="5"/>
  <c r="M30" i="6"/>
  <c r="AU30" i="6"/>
  <c r="M21" i="6"/>
  <c r="AU21" i="6"/>
  <c r="M21" i="7"/>
  <c r="AU21" i="7"/>
  <c r="M23" i="8"/>
  <c r="AU23" i="8"/>
  <c r="M23" i="9"/>
  <c r="AU23" i="9"/>
  <c r="M8" i="9"/>
  <c r="AU8" i="9"/>
  <c r="M24" i="10"/>
  <c r="AU24" i="10"/>
  <c r="M34" i="11"/>
  <c r="AU34" i="11"/>
  <c r="M11" i="1"/>
  <c r="AU11" i="1"/>
  <c r="M25" i="3"/>
  <c r="AU25" i="3"/>
  <c r="M11" i="4"/>
  <c r="AU11" i="4"/>
  <c r="M7" i="4"/>
  <c r="AU7" i="4"/>
  <c r="M31" i="5"/>
  <c r="AU31" i="5"/>
  <c r="M35" i="6"/>
  <c r="AU35" i="6"/>
  <c r="M23" i="3"/>
  <c r="AU23" i="3"/>
  <c r="M6" i="1"/>
  <c r="AU6" i="1"/>
  <c r="M15" i="1"/>
  <c r="AU15" i="1"/>
  <c r="M29" i="3"/>
  <c r="AU29" i="3"/>
  <c r="M30" i="3"/>
  <c r="AU30" i="3"/>
  <c r="M8" i="3"/>
  <c r="AU8" i="3"/>
  <c r="M15" i="3"/>
  <c r="AU15" i="3"/>
  <c r="M22" i="3"/>
  <c r="AU22" i="3"/>
  <c r="M23" i="4"/>
  <c r="AU23" i="4"/>
  <c r="M24" i="4"/>
  <c r="AU24" i="4"/>
  <c r="M19" i="4"/>
  <c r="AU19" i="4"/>
  <c r="M8" i="4"/>
  <c r="AU8" i="4"/>
  <c r="M15" i="4"/>
  <c r="AU15" i="4"/>
  <c r="M17" i="5"/>
  <c r="AU17" i="5"/>
  <c r="M18" i="5"/>
  <c r="AU18" i="5"/>
  <c r="M7" i="5"/>
  <c r="AU7" i="5"/>
  <c r="M14" i="5"/>
  <c r="AU14" i="5"/>
  <c r="M21" i="5"/>
  <c r="AU21" i="5"/>
  <c r="M11" i="6"/>
  <c r="AU11" i="6"/>
  <c r="M12" i="6"/>
  <c r="AU12" i="6"/>
  <c r="M34" i="6"/>
  <c r="AU34" i="6"/>
  <c r="M8" i="6"/>
  <c r="AU8" i="6"/>
  <c r="M28" i="6"/>
  <c r="AU28" i="6"/>
  <c r="M11" i="7"/>
  <c r="AU11" i="7"/>
  <c r="M12" i="7"/>
  <c r="AU12" i="7"/>
  <c r="M10" i="7"/>
  <c r="AU10" i="7"/>
  <c r="M19" i="7"/>
  <c r="AU19" i="7"/>
  <c r="M20" i="7"/>
  <c r="AU20" i="7"/>
  <c r="M20" i="8"/>
  <c r="AU20" i="8"/>
  <c r="M31" i="8"/>
  <c r="AU31" i="8"/>
  <c r="M25" i="9"/>
  <c r="AU25" i="9"/>
  <c r="M33" i="9"/>
  <c r="AU33" i="9"/>
  <c r="M26" i="9"/>
  <c r="AU26" i="9"/>
  <c r="M6" i="10"/>
  <c r="AU6" i="10"/>
  <c r="M14" i="10"/>
  <c r="AU14" i="10"/>
  <c r="M13" i="10"/>
  <c r="AU13" i="10"/>
  <c r="M15" i="10"/>
  <c r="AU15" i="10"/>
  <c r="M22" i="10"/>
  <c r="AU22" i="10"/>
  <c r="M23" i="11"/>
  <c r="AU23" i="11"/>
  <c r="M24" i="11"/>
  <c r="AU24" i="11"/>
  <c r="M8" i="11"/>
  <c r="AU8" i="11"/>
  <c r="M26" i="11"/>
  <c r="AU26" i="11"/>
  <c r="M33" i="11"/>
  <c r="AU33" i="11"/>
  <c r="M17" i="12"/>
  <c r="AU17" i="12"/>
  <c r="M18" i="12"/>
  <c r="AU18" i="12"/>
  <c r="M7" i="12"/>
  <c r="AU7" i="12"/>
  <c r="M28" i="12"/>
  <c r="AU28" i="12"/>
  <c r="M9" i="12"/>
  <c r="AU9" i="12"/>
  <c r="M11" i="13"/>
  <c r="AU11" i="13"/>
  <c r="M12" i="13"/>
  <c r="AU12" i="13"/>
  <c r="M20" i="13"/>
  <c r="AU20" i="13"/>
  <c r="M31" i="13"/>
  <c r="AU31" i="13"/>
  <c r="M33" i="13"/>
  <c r="AU33" i="13"/>
  <c r="M6" i="9"/>
  <c r="AU6" i="9"/>
  <c r="M5" i="11"/>
  <c r="AU5" i="11"/>
  <c r="M5" i="8"/>
  <c r="AU5" i="8"/>
  <c r="M5" i="9"/>
  <c r="AU5" i="9"/>
  <c r="J6" i="9"/>
  <c r="N6" i="9" s="1"/>
  <c r="AU5" i="12"/>
  <c r="M5" i="12" s="1"/>
  <c r="AU5" i="5"/>
  <c r="M5" i="5" s="1"/>
  <c r="K6" i="9"/>
  <c r="M5" i="13"/>
  <c r="AU5" i="13"/>
  <c r="AU5" i="6"/>
  <c r="M5" i="6" s="1"/>
  <c r="AU5" i="1"/>
  <c r="M5" i="1" s="1"/>
  <c r="M5" i="3"/>
  <c r="AU5" i="3"/>
  <c r="M24" i="6"/>
  <c r="M5" i="10"/>
  <c r="AU5" i="10"/>
  <c r="M17" i="1"/>
  <c r="M5" i="4"/>
  <c r="AU5" i="4"/>
  <c r="M34" i="4"/>
  <c r="M30" i="13"/>
  <c r="M25" i="6"/>
  <c r="K22" i="8"/>
  <c r="M22" i="8"/>
  <c r="J15" i="8"/>
  <c r="N15" i="8" s="1"/>
  <c r="M15" i="8"/>
  <c r="K16" i="8"/>
  <c r="M16" i="8"/>
  <c r="J10" i="8"/>
  <c r="N10" i="8" s="1"/>
  <c r="M10" i="8"/>
  <c r="K28" i="8"/>
  <c r="M28" i="8"/>
  <c r="K9" i="8"/>
  <c r="M9" i="8"/>
  <c r="J10" i="9"/>
  <c r="N10" i="9" s="1"/>
  <c r="M10" i="9"/>
  <c r="K6" i="8"/>
  <c r="M6" i="8"/>
  <c r="K34" i="8"/>
  <c r="M34" i="8"/>
  <c r="K5" i="7"/>
  <c r="M5" i="7"/>
  <c r="J5" i="7"/>
  <c r="K32" i="13"/>
  <c r="J32" i="13"/>
  <c r="K26" i="13"/>
  <c r="J26" i="13"/>
  <c r="J10" i="13"/>
  <c r="K10" i="13"/>
  <c r="K12" i="13"/>
  <c r="J12" i="13"/>
  <c r="J17" i="13"/>
  <c r="K17" i="13"/>
  <c r="J23" i="13"/>
  <c r="K23" i="13"/>
  <c r="K24" i="13"/>
  <c r="J24" i="13"/>
  <c r="J7" i="13"/>
  <c r="K7" i="13"/>
  <c r="K9" i="13"/>
  <c r="J9" i="13"/>
  <c r="K16" i="13"/>
  <c r="J16" i="13"/>
  <c r="K11" i="13"/>
  <c r="J11" i="13"/>
  <c r="K20" i="13"/>
  <c r="J20" i="13"/>
  <c r="K18" i="13"/>
  <c r="J18" i="13"/>
  <c r="J29" i="13"/>
  <c r="K29" i="13"/>
  <c r="K30" i="13"/>
  <c r="J30" i="13"/>
  <c r="K13" i="13"/>
  <c r="J13" i="13"/>
  <c r="J15" i="13"/>
  <c r="K15" i="13"/>
  <c r="K22" i="13"/>
  <c r="J22" i="13"/>
  <c r="J33" i="13"/>
  <c r="K33" i="13"/>
  <c r="J22" i="8"/>
  <c r="N22" i="8" s="1"/>
  <c r="K35" i="13"/>
  <c r="J35" i="13"/>
  <c r="J8" i="13"/>
  <c r="K8" i="13"/>
  <c r="J19" i="13"/>
  <c r="K19" i="13"/>
  <c r="J21" i="13"/>
  <c r="K21" i="13"/>
  <c r="K28" i="13"/>
  <c r="J28" i="13"/>
  <c r="J31" i="13"/>
  <c r="K31" i="13"/>
  <c r="K5" i="13"/>
  <c r="J5" i="13"/>
  <c r="K6" i="13"/>
  <c r="J6" i="13"/>
  <c r="K14" i="13"/>
  <c r="J14" i="13"/>
  <c r="J25" i="13"/>
  <c r="K25" i="13"/>
  <c r="J27" i="13"/>
  <c r="K27" i="13"/>
  <c r="K34" i="13"/>
  <c r="J34" i="13"/>
  <c r="J23" i="12"/>
  <c r="K23" i="12"/>
  <c r="K11" i="12"/>
  <c r="J11" i="12"/>
  <c r="K12" i="12"/>
  <c r="J12" i="12"/>
  <c r="J34" i="12"/>
  <c r="K34" i="12"/>
  <c r="K16" i="12"/>
  <c r="J16" i="12"/>
  <c r="K32" i="12"/>
  <c r="J32" i="12"/>
  <c r="J17" i="12"/>
  <c r="K17" i="12"/>
  <c r="K18" i="12"/>
  <c r="J18" i="12"/>
  <c r="J7" i="12"/>
  <c r="K7" i="12"/>
  <c r="K28" i="12"/>
  <c r="J28" i="12"/>
  <c r="K9" i="12"/>
  <c r="J9" i="12"/>
  <c r="K24" i="12"/>
  <c r="J24" i="12"/>
  <c r="J15" i="12"/>
  <c r="K15" i="12"/>
  <c r="J29" i="12"/>
  <c r="K29" i="12"/>
  <c r="K30" i="12"/>
  <c r="J30" i="12"/>
  <c r="J19" i="12"/>
  <c r="K19" i="12"/>
  <c r="K14" i="12"/>
  <c r="J14" i="12"/>
  <c r="J21" i="12"/>
  <c r="K21" i="12"/>
  <c r="K13" i="12"/>
  <c r="J13" i="12"/>
  <c r="J8" i="12"/>
  <c r="K8" i="12"/>
  <c r="J10" i="12"/>
  <c r="K10" i="12"/>
  <c r="J25" i="12"/>
  <c r="K25" i="12"/>
  <c r="K20" i="12"/>
  <c r="J20" i="12"/>
  <c r="J27" i="12"/>
  <c r="K27" i="12"/>
  <c r="K5" i="12"/>
  <c r="J5" i="12"/>
  <c r="K6" i="12"/>
  <c r="J6" i="12"/>
  <c r="K22" i="12"/>
  <c r="J22" i="12"/>
  <c r="J31" i="12"/>
  <c r="K31" i="12"/>
  <c r="K26" i="12"/>
  <c r="J26" i="12"/>
  <c r="K33" i="12"/>
  <c r="J33" i="12"/>
  <c r="K21" i="11"/>
  <c r="J21" i="11"/>
  <c r="K17" i="11"/>
  <c r="J17" i="11"/>
  <c r="K18" i="11"/>
  <c r="J18" i="11"/>
  <c r="J25" i="11"/>
  <c r="K25" i="11"/>
  <c r="K15" i="11"/>
  <c r="J15" i="11"/>
  <c r="K23" i="11"/>
  <c r="J23" i="11"/>
  <c r="K24" i="11"/>
  <c r="J24" i="11"/>
  <c r="J8" i="11"/>
  <c r="K8" i="11"/>
  <c r="K26" i="11"/>
  <c r="J26" i="11"/>
  <c r="J33" i="11"/>
  <c r="K33" i="11"/>
  <c r="K11" i="11"/>
  <c r="J11" i="11"/>
  <c r="K14" i="11"/>
  <c r="J14" i="11"/>
  <c r="K31" i="11"/>
  <c r="J31" i="11"/>
  <c r="K15" i="8"/>
  <c r="J28" i="8"/>
  <c r="N28" i="8" s="1"/>
  <c r="K29" i="11"/>
  <c r="J29" i="11"/>
  <c r="K30" i="11"/>
  <c r="J30" i="11"/>
  <c r="K20" i="11"/>
  <c r="J20" i="11"/>
  <c r="K27" i="11"/>
  <c r="J27" i="11"/>
  <c r="J10" i="11"/>
  <c r="K10" i="11"/>
  <c r="K12" i="11"/>
  <c r="J12" i="11"/>
  <c r="K10" i="8"/>
  <c r="K10" i="9"/>
  <c r="K35" i="11"/>
  <c r="J35" i="11"/>
  <c r="J7" i="11"/>
  <c r="K7" i="11"/>
  <c r="K32" i="11"/>
  <c r="J32" i="11"/>
  <c r="K16" i="11"/>
  <c r="J16" i="11"/>
  <c r="K22" i="11"/>
  <c r="J22" i="11"/>
  <c r="J19" i="11"/>
  <c r="K19" i="11"/>
  <c r="K5" i="11"/>
  <c r="J5" i="11"/>
  <c r="K6" i="11"/>
  <c r="J6" i="11"/>
  <c r="K13" i="11"/>
  <c r="J13" i="11"/>
  <c r="K9" i="11"/>
  <c r="J9" i="11"/>
  <c r="K28" i="11"/>
  <c r="J28" i="11"/>
  <c r="K34" i="11"/>
  <c r="J34" i="11"/>
  <c r="K33" i="10"/>
  <c r="J33" i="10"/>
  <c r="J34" i="8"/>
  <c r="N34" i="8" s="1"/>
  <c r="J29" i="10"/>
  <c r="K29" i="10"/>
  <c r="K30" i="10"/>
  <c r="J30" i="10"/>
  <c r="K32" i="10"/>
  <c r="J32" i="10"/>
  <c r="J10" i="10"/>
  <c r="K10" i="10"/>
  <c r="J23" i="10"/>
  <c r="K23" i="10"/>
  <c r="J8" i="10"/>
  <c r="K8" i="10"/>
  <c r="J7" i="10"/>
  <c r="K7" i="10"/>
  <c r="K9" i="10"/>
  <c r="J9" i="10"/>
  <c r="K16" i="10"/>
  <c r="J16" i="10"/>
  <c r="K24" i="10"/>
  <c r="J24" i="10"/>
  <c r="J6" i="8"/>
  <c r="K5" i="10"/>
  <c r="J5" i="10"/>
  <c r="K6" i="10"/>
  <c r="J6" i="10"/>
  <c r="K14" i="10"/>
  <c r="J14" i="10"/>
  <c r="K13" i="10"/>
  <c r="J13" i="10"/>
  <c r="J15" i="10"/>
  <c r="K15" i="10"/>
  <c r="K22" i="10"/>
  <c r="J22" i="10"/>
  <c r="J31" i="10"/>
  <c r="K31" i="10"/>
  <c r="J16" i="8"/>
  <c r="N16" i="8" s="1"/>
  <c r="K11" i="10"/>
  <c r="J11" i="10"/>
  <c r="K12" i="10"/>
  <c r="J12" i="10"/>
  <c r="K20" i="10"/>
  <c r="J20" i="10"/>
  <c r="J19" i="10"/>
  <c r="K19" i="10"/>
  <c r="J21" i="10"/>
  <c r="K21" i="10"/>
  <c r="K28" i="10"/>
  <c r="J28" i="10"/>
  <c r="J17" i="10"/>
  <c r="K17" i="10"/>
  <c r="K18" i="10"/>
  <c r="J18" i="10"/>
  <c r="K26" i="10"/>
  <c r="J26" i="10"/>
  <c r="J25" i="10"/>
  <c r="K25" i="10"/>
  <c r="J27" i="10"/>
  <c r="K27" i="10"/>
  <c r="J34" i="10"/>
  <c r="K34" i="10"/>
  <c r="J29" i="9"/>
  <c r="K29" i="9"/>
  <c r="K24" i="9"/>
  <c r="J24" i="9"/>
  <c r="K13" i="9"/>
  <c r="J13" i="9"/>
  <c r="J15" i="9"/>
  <c r="K15" i="9"/>
  <c r="K14" i="9"/>
  <c r="J14" i="9"/>
  <c r="K16" i="9"/>
  <c r="J16" i="9"/>
  <c r="J35" i="9"/>
  <c r="K35" i="9"/>
  <c r="K30" i="9"/>
  <c r="J30" i="9"/>
  <c r="J19" i="9"/>
  <c r="K19" i="9"/>
  <c r="J27" i="9"/>
  <c r="K27" i="9"/>
  <c r="K20" i="9"/>
  <c r="J20" i="9"/>
  <c r="K34" i="9"/>
  <c r="J34" i="9"/>
  <c r="J25" i="9"/>
  <c r="K25" i="9"/>
  <c r="K11" i="9"/>
  <c r="J11" i="9"/>
  <c r="J31" i="9"/>
  <c r="K31" i="9"/>
  <c r="K22" i="9"/>
  <c r="J22" i="9"/>
  <c r="K32" i="9"/>
  <c r="J32" i="9"/>
  <c r="K5" i="9"/>
  <c r="J5" i="9"/>
  <c r="K26" i="9"/>
  <c r="J26" i="9"/>
  <c r="J9" i="8"/>
  <c r="N9" i="8" s="1"/>
  <c r="J17" i="9"/>
  <c r="K17" i="9"/>
  <c r="K12" i="9"/>
  <c r="J12" i="9"/>
  <c r="K28" i="9"/>
  <c r="J28" i="9"/>
  <c r="J33" i="9"/>
  <c r="K33" i="9"/>
  <c r="J23" i="9"/>
  <c r="K23" i="9"/>
  <c r="K18" i="9"/>
  <c r="J18" i="9"/>
  <c r="J7" i="9"/>
  <c r="K7" i="9"/>
  <c r="K9" i="9"/>
  <c r="J9" i="9"/>
  <c r="J8" i="9"/>
  <c r="K8" i="9"/>
  <c r="J21" i="9"/>
  <c r="K21" i="9"/>
  <c r="K35" i="8"/>
  <c r="J35" i="8"/>
  <c r="K12" i="8"/>
  <c r="J12" i="8"/>
  <c r="K32" i="8"/>
  <c r="J32" i="8"/>
  <c r="J25" i="8"/>
  <c r="K25" i="8"/>
  <c r="K33" i="8"/>
  <c r="J33" i="8"/>
  <c r="J29" i="8"/>
  <c r="K29" i="8"/>
  <c r="K20" i="8"/>
  <c r="J20" i="8"/>
  <c r="J27" i="8"/>
  <c r="K27" i="8"/>
  <c r="K5" i="8"/>
  <c r="J5" i="8"/>
  <c r="K18" i="8"/>
  <c r="J18" i="8"/>
  <c r="J31" i="8"/>
  <c r="K31" i="8"/>
  <c r="J19" i="8"/>
  <c r="K19" i="8"/>
  <c r="K11" i="8"/>
  <c r="J11" i="8"/>
  <c r="K24" i="8"/>
  <c r="J24" i="8"/>
  <c r="K14" i="8"/>
  <c r="J14" i="8"/>
  <c r="J17" i="8"/>
  <c r="K17" i="8"/>
  <c r="K30" i="8"/>
  <c r="J30" i="8"/>
  <c r="J7" i="8"/>
  <c r="K7" i="8"/>
  <c r="K26" i="8"/>
  <c r="J26" i="8"/>
  <c r="J23" i="8"/>
  <c r="K23" i="8"/>
  <c r="J8" i="8"/>
  <c r="K8" i="8"/>
  <c r="K13" i="8"/>
  <c r="J13" i="8"/>
  <c r="J21" i="8"/>
  <c r="K21" i="8"/>
  <c r="K24" i="7"/>
  <c r="J24" i="7"/>
  <c r="K32" i="7"/>
  <c r="J32" i="7"/>
  <c r="J29" i="7"/>
  <c r="K29" i="7"/>
  <c r="K30" i="7"/>
  <c r="J30" i="7"/>
  <c r="K34" i="7"/>
  <c r="J34" i="7"/>
  <c r="J21" i="7"/>
  <c r="K21" i="7"/>
  <c r="K9" i="7"/>
  <c r="J9" i="7"/>
  <c r="J23" i="7"/>
  <c r="K23" i="7"/>
  <c r="J31" i="7"/>
  <c r="K31" i="7"/>
  <c r="J15" i="7"/>
  <c r="K15" i="7"/>
  <c r="J7" i="7"/>
  <c r="K7" i="7"/>
  <c r="J8" i="7"/>
  <c r="K8" i="7"/>
  <c r="J27" i="7"/>
  <c r="K27" i="7"/>
  <c r="K28" i="7"/>
  <c r="J28" i="7"/>
  <c r="K6" i="7"/>
  <c r="J6" i="7"/>
  <c r="K33" i="7"/>
  <c r="J33" i="7"/>
  <c r="K13" i="7"/>
  <c r="J13" i="7"/>
  <c r="K14" i="7"/>
  <c r="J14" i="7"/>
  <c r="K22" i="7"/>
  <c r="J22" i="7"/>
  <c r="K11" i="7"/>
  <c r="J11" i="7"/>
  <c r="K12" i="7"/>
  <c r="J12" i="7"/>
  <c r="J10" i="7"/>
  <c r="K10" i="7"/>
  <c r="J19" i="7"/>
  <c r="K19" i="7"/>
  <c r="K20" i="7"/>
  <c r="J20" i="7"/>
  <c r="J17" i="7"/>
  <c r="K17" i="7"/>
  <c r="K18" i="7"/>
  <c r="J18" i="7"/>
  <c r="K16" i="7"/>
  <c r="J16" i="7"/>
  <c r="J25" i="7"/>
  <c r="K25" i="7"/>
  <c r="K26" i="7"/>
  <c r="J26" i="7"/>
  <c r="J34" i="6"/>
  <c r="K34" i="6"/>
  <c r="J17" i="6"/>
  <c r="K17" i="6"/>
  <c r="K18" i="6"/>
  <c r="J18" i="6"/>
  <c r="J7" i="6"/>
  <c r="K7" i="6"/>
  <c r="K14" i="6"/>
  <c r="J14" i="6"/>
  <c r="K9" i="6"/>
  <c r="J9" i="6"/>
  <c r="J23" i="6"/>
  <c r="K23" i="6"/>
  <c r="K24" i="6"/>
  <c r="J24" i="6"/>
  <c r="K13" i="6"/>
  <c r="J13" i="6"/>
  <c r="K20" i="6"/>
  <c r="J20" i="6"/>
  <c r="J15" i="6"/>
  <c r="K15" i="6"/>
  <c r="K28" i="6"/>
  <c r="J28" i="6"/>
  <c r="J29" i="6"/>
  <c r="K29" i="6"/>
  <c r="K30" i="6"/>
  <c r="J30" i="6"/>
  <c r="J19" i="6"/>
  <c r="K19" i="6"/>
  <c r="K26" i="6"/>
  <c r="J26" i="6"/>
  <c r="J21" i="6"/>
  <c r="K21" i="6"/>
  <c r="K12" i="6"/>
  <c r="J12" i="6"/>
  <c r="J35" i="6"/>
  <c r="K35" i="6"/>
  <c r="J10" i="6"/>
  <c r="K10" i="6"/>
  <c r="J25" i="6"/>
  <c r="K25" i="6"/>
  <c r="K32" i="6"/>
  <c r="J32" i="6"/>
  <c r="J27" i="6"/>
  <c r="K27" i="6"/>
  <c r="K11" i="6"/>
  <c r="J11" i="6"/>
  <c r="J8" i="6"/>
  <c r="K8" i="6"/>
  <c r="K5" i="6"/>
  <c r="J5" i="6"/>
  <c r="K6" i="6"/>
  <c r="J6" i="6"/>
  <c r="K22" i="6"/>
  <c r="J22" i="6"/>
  <c r="J31" i="6"/>
  <c r="K31" i="6"/>
  <c r="K16" i="6"/>
  <c r="J16" i="6"/>
  <c r="K33" i="6"/>
  <c r="J33" i="6"/>
  <c r="J22" i="5"/>
  <c r="K22" i="5"/>
  <c r="J17" i="5"/>
  <c r="K17" i="5"/>
  <c r="J18" i="5"/>
  <c r="K18" i="5"/>
  <c r="J7" i="5"/>
  <c r="K7" i="5"/>
  <c r="J14" i="5"/>
  <c r="K14" i="5"/>
  <c r="J21" i="5"/>
  <c r="K21" i="5"/>
  <c r="K12" i="5"/>
  <c r="J12" i="5"/>
  <c r="J23" i="5"/>
  <c r="K23" i="5"/>
  <c r="J24" i="5"/>
  <c r="K24" i="5"/>
  <c r="J13" i="5"/>
  <c r="K13" i="5"/>
  <c r="J20" i="5"/>
  <c r="K20" i="5"/>
  <c r="J27" i="5"/>
  <c r="K27" i="5"/>
  <c r="J11" i="5"/>
  <c r="K11" i="5"/>
  <c r="J15" i="5"/>
  <c r="K15" i="5"/>
  <c r="J30" i="5"/>
  <c r="K30" i="5"/>
  <c r="K19" i="5"/>
  <c r="J19" i="5"/>
  <c r="J16" i="5"/>
  <c r="K16" i="5"/>
  <c r="K33" i="5"/>
  <c r="J33" i="5"/>
  <c r="K25" i="5"/>
  <c r="J25" i="5"/>
  <c r="J32" i="5"/>
  <c r="K32" i="5"/>
  <c r="J28" i="5"/>
  <c r="K28" i="5"/>
  <c r="K8" i="5"/>
  <c r="J8" i="5"/>
  <c r="J29" i="5"/>
  <c r="K29" i="5"/>
  <c r="J26" i="5"/>
  <c r="K26" i="5"/>
  <c r="J5" i="5"/>
  <c r="K5" i="5"/>
  <c r="K6" i="5"/>
  <c r="J6" i="5"/>
  <c r="J10" i="5"/>
  <c r="K10" i="5"/>
  <c r="K31" i="5"/>
  <c r="J31" i="5"/>
  <c r="J9" i="5"/>
  <c r="K9" i="5"/>
  <c r="J34" i="5"/>
  <c r="K34" i="5"/>
  <c r="J12" i="4"/>
  <c r="K12" i="4"/>
  <c r="K17" i="4"/>
  <c r="J17" i="4"/>
  <c r="K18" i="4"/>
  <c r="J18" i="4"/>
  <c r="K13" i="4"/>
  <c r="J13" i="4"/>
  <c r="K34" i="4"/>
  <c r="J34" i="4"/>
  <c r="K9" i="4"/>
  <c r="J9" i="4"/>
  <c r="K22" i="4"/>
  <c r="J22" i="4"/>
  <c r="K23" i="4"/>
  <c r="J23" i="4"/>
  <c r="K24" i="4"/>
  <c r="J24" i="4"/>
  <c r="K19" i="4"/>
  <c r="J19" i="4"/>
  <c r="J8" i="4"/>
  <c r="K8" i="4"/>
  <c r="J15" i="4"/>
  <c r="K15" i="4"/>
  <c r="K7" i="4"/>
  <c r="J7" i="4"/>
  <c r="K29" i="4"/>
  <c r="J29" i="4"/>
  <c r="K30" i="4"/>
  <c r="J30" i="4"/>
  <c r="K25" i="4"/>
  <c r="J25" i="4"/>
  <c r="K14" i="4"/>
  <c r="J14" i="4"/>
  <c r="J21" i="4"/>
  <c r="K21" i="4"/>
  <c r="K28" i="4"/>
  <c r="J28" i="4"/>
  <c r="K35" i="4"/>
  <c r="J35" i="4"/>
  <c r="K32" i="4"/>
  <c r="J32" i="4"/>
  <c r="K31" i="4"/>
  <c r="J31" i="4"/>
  <c r="K20" i="4"/>
  <c r="J20" i="4"/>
  <c r="J27" i="4"/>
  <c r="K27" i="4"/>
  <c r="J11" i="4"/>
  <c r="K11" i="4"/>
  <c r="K5" i="4"/>
  <c r="J5" i="4"/>
  <c r="J6" i="4"/>
  <c r="K6" i="4"/>
  <c r="K16" i="4"/>
  <c r="J16" i="4"/>
  <c r="J10" i="4"/>
  <c r="K10" i="4"/>
  <c r="K26" i="4"/>
  <c r="J26" i="4"/>
  <c r="J33" i="4"/>
  <c r="K33" i="4"/>
  <c r="K11" i="3"/>
  <c r="J11" i="3"/>
  <c r="K12" i="3"/>
  <c r="J12" i="3"/>
  <c r="J19" i="3"/>
  <c r="K19" i="3"/>
  <c r="K26" i="3"/>
  <c r="J26" i="3"/>
  <c r="J17" i="3"/>
  <c r="K17" i="3"/>
  <c r="K18" i="3"/>
  <c r="J18" i="3"/>
  <c r="J25" i="3"/>
  <c r="K25" i="3"/>
  <c r="K32" i="3"/>
  <c r="J32" i="3"/>
  <c r="J10" i="3"/>
  <c r="K10" i="3"/>
  <c r="J23" i="3"/>
  <c r="K23" i="3"/>
  <c r="K24" i="3"/>
  <c r="J24" i="3"/>
  <c r="J31" i="3"/>
  <c r="K31" i="3"/>
  <c r="K9" i="3"/>
  <c r="J9" i="3"/>
  <c r="K16" i="3"/>
  <c r="J16" i="3"/>
  <c r="J29" i="3"/>
  <c r="K29" i="3"/>
  <c r="K30" i="3"/>
  <c r="J30" i="3"/>
  <c r="J8" i="3"/>
  <c r="K8" i="3"/>
  <c r="J15" i="3"/>
  <c r="K15" i="3"/>
  <c r="K22" i="3"/>
  <c r="J22" i="3"/>
  <c r="J7" i="3"/>
  <c r="K7" i="3"/>
  <c r="K14" i="3"/>
  <c r="J14" i="3"/>
  <c r="J21" i="3"/>
  <c r="K21" i="3"/>
  <c r="K28" i="3"/>
  <c r="J28" i="3"/>
  <c r="K5" i="3"/>
  <c r="J5" i="3"/>
  <c r="K6" i="3"/>
  <c r="J6" i="3"/>
  <c r="K13" i="3"/>
  <c r="J13" i="3"/>
  <c r="K20" i="3"/>
  <c r="J20" i="3"/>
  <c r="J27" i="3"/>
  <c r="K27" i="3"/>
  <c r="K16" i="1"/>
  <c r="AX16" i="1"/>
  <c r="J16" i="1" s="1"/>
  <c r="N16" i="1" s="1"/>
  <c r="K12" i="1"/>
  <c r="J12" i="1"/>
  <c r="BB17" i="1"/>
  <c r="K17" i="1" s="1"/>
  <c r="AY17" i="1"/>
  <c r="I17" i="1" s="1"/>
  <c r="K5" i="1"/>
  <c r="J5" i="1"/>
  <c r="K11" i="1"/>
  <c r="J11" i="1"/>
  <c r="AX17" i="1"/>
  <c r="K7" i="1"/>
  <c r="J7" i="1"/>
  <c r="K8" i="1"/>
  <c r="J8" i="1"/>
  <c r="J15" i="1"/>
  <c r="K15" i="1"/>
  <c r="B19" i="1"/>
  <c r="AW18" i="1"/>
  <c r="AV18" i="1"/>
  <c r="AU18" i="1" s="1"/>
  <c r="C18" i="1"/>
  <c r="K13" i="1"/>
  <c r="J13" i="1"/>
  <c r="K14" i="1"/>
  <c r="J14" i="1"/>
  <c r="K10" i="1"/>
  <c r="J10" i="1"/>
  <c r="K6" i="1"/>
  <c r="J6" i="1"/>
  <c r="K9" i="1"/>
  <c r="J9" i="1"/>
  <c r="L5" i="7" l="1"/>
  <c r="L6" i="8"/>
  <c r="J17" i="1"/>
  <c r="N17" i="1" s="1"/>
  <c r="N5" i="7"/>
  <c r="L6" i="9"/>
  <c r="L10" i="8"/>
  <c r="L10" i="9"/>
  <c r="L15" i="8"/>
  <c r="M18" i="1"/>
  <c r="L22" i="8"/>
  <c r="L28" i="8"/>
  <c r="N6" i="8"/>
  <c r="N8" i="13"/>
  <c r="L8" i="13"/>
  <c r="N22" i="13"/>
  <c r="L22" i="13"/>
  <c r="N30" i="13"/>
  <c r="L30" i="13"/>
  <c r="J37" i="13"/>
  <c r="N5" i="13"/>
  <c r="V7" i="13"/>
  <c r="L5" i="13"/>
  <c r="N35" i="13"/>
  <c r="L35" i="13"/>
  <c r="N23" i="13"/>
  <c r="L23" i="13"/>
  <c r="N10" i="13"/>
  <c r="L10" i="13"/>
  <c r="N20" i="13"/>
  <c r="L20" i="13"/>
  <c r="N25" i="13"/>
  <c r="L25" i="13"/>
  <c r="K37" i="13"/>
  <c r="V6" i="13"/>
  <c r="N21" i="13"/>
  <c r="L21" i="13"/>
  <c r="N11" i="13"/>
  <c r="L11" i="13"/>
  <c r="N26" i="13"/>
  <c r="L26" i="13"/>
  <c r="N27" i="13"/>
  <c r="L27" i="13"/>
  <c r="N9" i="13"/>
  <c r="L9" i="13"/>
  <c r="L34" i="8"/>
  <c r="L16" i="8"/>
  <c r="N34" i="13"/>
  <c r="L34" i="13"/>
  <c r="N14" i="13"/>
  <c r="L14" i="13"/>
  <c r="N15" i="13"/>
  <c r="L15" i="13"/>
  <c r="N29" i="13"/>
  <c r="L29" i="13"/>
  <c r="N7" i="13"/>
  <c r="L7" i="13"/>
  <c r="N17" i="13"/>
  <c r="L17" i="13"/>
  <c r="N31" i="13"/>
  <c r="L31" i="13"/>
  <c r="N19" i="13"/>
  <c r="L19" i="13"/>
  <c r="N13" i="13"/>
  <c r="L13" i="13"/>
  <c r="N18" i="13"/>
  <c r="L18" i="13"/>
  <c r="N16" i="13"/>
  <c r="L16" i="13"/>
  <c r="N24" i="13"/>
  <c r="L24" i="13"/>
  <c r="N12" i="13"/>
  <c r="L12" i="13"/>
  <c r="N32" i="13"/>
  <c r="L32" i="13"/>
  <c r="N6" i="13"/>
  <c r="L6" i="13"/>
  <c r="N28" i="13"/>
  <c r="L28" i="13"/>
  <c r="N33" i="13"/>
  <c r="L33" i="13"/>
  <c r="N33" i="12"/>
  <c r="L33" i="12"/>
  <c r="N22" i="12"/>
  <c r="L22" i="12"/>
  <c r="N30" i="12"/>
  <c r="L30" i="12"/>
  <c r="N24" i="12"/>
  <c r="L24" i="12"/>
  <c r="N32" i="12"/>
  <c r="L32" i="12"/>
  <c r="N12" i="12"/>
  <c r="L12" i="12"/>
  <c r="N14" i="12"/>
  <c r="L14" i="12"/>
  <c r="N27" i="12"/>
  <c r="L27" i="12"/>
  <c r="N10" i="12"/>
  <c r="L10" i="12"/>
  <c r="N21" i="12"/>
  <c r="L21" i="12"/>
  <c r="N7" i="12"/>
  <c r="L7" i="12"/>
  <c r="N26" i="12"/>
  <c r="L26" i="12"/>
  <c r="N20" i="12"/>
  <c r="L20" i="12"/>
  <c r="N9" i="12"/>
  <c r="L9" i="12"/>
  <c r="N18" i="12"/>
  <c r="L18" i="12"/>
  <c r="N16" i="12"/>
  <c r="L16" i="12"/>
  <c r="N11" i="12"/>
  <c r="L11" i="12"/>
  <c r="N8" i="12"/>
  <c r="L8" i="12"/>
  <c r="N29" i="12"/>
  <c r="L29" i="12"/>
  <c r="J37" i="12"/>
  <c r="N5" i="12"/>
  <c r="V7" i="12"/>
  <c r="L5" i="12"/>
  <c r="N13" i="12"/>
  <c r="L13" i="12"/>
  <c r="N28" i="12"/>
  <c r="L28" i="12"/>
  <c r="N6" i="12"/>
  <c r="L6" i="12"/>
  <c r="N31" i="12"/>
  <c r="L31" i="12"/>
  <c r="K37" i="12"/>
  <c r="V6" i="12"/>
  <c r="N25" i="12"/>
  <c r="L25" i="12"/>
  <c r="N19" i="12"/>
  <c r="L19" i="12"/>
  <c r="N15" i="12"/>
  <c r="L15" i="12"/>
  <c r="N17" i="12"/>
  <c r="L17" i="12"/>
  <c r="N34" i="12"/>
  <c r="L34" i="12"/>
  <c r="N23" i="12"/>
  <c r="L23" i="12"/>
  <c r="N32" i="11"/>
  <c r="L32" i="11"/>
  <c r="N27" i="11"/>
  <c r="L27" i="11"/>
  <c r="N14" i="11"/>
  <c r="L14" i="11"/>
  <c r="N26" i="11"/>
  <c r="L26" i="11"/>
  <c r="N19" i="11"/>
  <c r="L19" i="11"/>
  <c r="N28" i="11"/>
  <c r="L28" i="11"/>
  <c r="N6" i="11"/>
  <c r="L6" i="11"/>
  <c r="N22" i="11"/>
  <c r="L22" i="11"/>
  <c r="N12" i="11"/>
  <c r="L12" i="11"/>
  <c r="N20" i="11"/>
  <c r="L20" i="11"/>
  <c r="N11" i="11"/>
  <c r="L11" i="11"/>
  <c r="N15" i="11"/>
  <c r="L15" i="11"/>
  <c r="N17" i="11"/>
  <c r="L17" i="11"/>
  <c r="N7" i="11"/>
  <c r="L7" i="11"/>
  <c r="N8" i="11"/>
  <c r="L8" i="11"/>
  <c r="N34" i="11"/>
  <c r="L34" i="11"/>
  <c r="N29" i="11"/>
  <c r="L29" i="11"/>
  <c r="N23" i="11"/>
  <c r="L23" i="11"/>
  <c r="N9" i="11"/>
  <c r="L9" i="11"/>
  <c r="J37" i="11"/>
  <c r="V7" i="11"/>
  <c r="N5" i="11"/>
  <c r="L5" i="11"/>
  <c r="N16" i="11"/>
  <c r="L16" i="11"/>
  <c r="N35" i="11"/>
  <c r="L35" i="11"/>
  <c r="N30" i="11"/>
  <c r="L30" i="11"/>
  <c r="N31" i="11"/>
  <c r="L31" i="11"/>
  <c r="N24" i="11"/>
  <c r="L24" i="11"/>
  <c r="N21" i="11"/>
  <c r="L21" i="11"/>
  <c r="N13" i="11"/>
  <c r="L13" i="11"/>
  <c r="N18" i="11"/>
  <c r="L18" i="11"/>
  <c r="L9" i="8"/>
  <c r="K37" i="11"/>
  <c r="V6" i="11"/>
  <c r="N10" i="11"/>
  <c r="L10" i="11"/>
  <c r="N33" i="11"/>
  <c r="L33" i="11"/>
  <c r="N25" i="11"/>
  <c r="L25" i="11"/>
  <c r="N25" i="10"/>
  <c r="L25" i="10"/>
  <c r="N29" i="10"/>
  <c r="L29" i="10"/>
  <c r="N27" i="10"/>
  <c r="L27" i="10"/>
  <c r="N21" i="10"/>
  <c r="L21" i="10"/>
  <c r="N22" i="10"/>
  <c r="L22" i="10"/>
  <c r="N14" i="10"/>
  <c r="L14" i="10"/>
  <c r="N23" i="10"/>
  <c r="L23" i="10"/>
  <c r="N10" i="10"/>
  <c r="L10" i="10"/>
  <c r="N11" i="10"/>
  <c r="L11" i="10"/>
  <c r="N24" i="10"/>
  <c r="L24" i="10"/>
  <c r="N17" i="10"/>
  <c r="L17" i="10"/>
  <c r="N19" i="10"/>
  <c r="L19" i="10"/>
  <c r="N26" i="10"/>
  <c r="L26" i="10"/>
  <c r="N28" i="10"/>
  <c r="L28" i="10"/>
  <c r="N20" i="10"/>
  <c r="L20" i="10"/>
  <c r="N15" i="10"/>
  <c r="L15" i="10"/>
  <c r="N16" i="10"/>
  <c r="L16" i="10"/>
  <c r="N32" i="10"/>
  <c r="L32" i="10"/>
  <c r="N6" i="10"/>
  <c r="L6" i="10"/>
  <c r="N34" i="10"/>
  <c r="L34" i="10"/>
  <c r="N13" i="10"/>
  <c r="L13" i="10"/>
  <c r="J37" i="10"/>
  <c r="V7" i="10"/>
  <c r="N5" i="10"/>
  <c r="L5" i="10"/>
  <c r="N8" i="10"/>
  <c r="L8" i="10"/>
  <c r="N33" i="10"/>
  <c r="L33" i="10"/>
  <c r="N7" i="10"/>
  <c r="L7" i="10"/>
  <c r="N18" i="10"/>
  <c r="L18" i="10"/>
  <c r="N12" i="10"/>
  <c r="L12" i="10"/>
  <c r="N31" i="10"/>
  <c r="L31" i="10"/>
  <c r="K37" i="10"/>
  <c r="V6" i="10"/>
  <c r="N9" i="10"/>
  <c r="L9" i="10"/>
  <c r="N30" i="10"/>
  <c r="L30" i="10"/>
  <c r="N17" i="9"/>
  <c r="L17" i="9"/>
  <c r="N8" i="9"/>
  <c r="L8" i="9"/>
  <c r="N9" i="9"/>
  <c r="L9" i="9"/>
  <c r="N28" i="9"/>
  <c r="L28" i="9"/>
  <c r="N31" i="9"/>
  <c r="L31" i="9"/>
  <c r="N19" i="9"/>
  <c r="L19" i="9"/>
  <c r="N23" i="9"/>
  <c r="L23" i="9"/>
  <c r="N26" i="9"/>
  <c r="L26" i="9"/>
  <c r="N32" i="9"/>
  <c r="L32" i="9"/>
  <c r="N11" i="9"/>
  <c r="L11" i="9"/>
  <c r="N20" i="9"/>
  <c r="L20" i="9"/>
  <c r="N30" i="9"/>
  <c r="L30" i="9"/>
  <c r="N14" i="9"/>
  <c r="L14" i="9"/>
  <c r="N24" i="9"/>
  <c r="L24" i="9"/>
  <c r="N16" i="9"/>
  <c r="L16" i="9"/>
  <c r="N12" i="9"/>
  <c r="L12" i="9"/>
  <c r="N34" i="9"/>
  <c r="L34" i="9"/>
  <c r="N21" i="9"/>
  <c r="L21" i="9"/>
  <c r="N7" i="9"/>
  <c r="L7" i="9"/>
  <c r="N33" i="9"/>
  <c r="L33" i="9"/>
  <c r="J37" i="9"/>
  <c r="V7" i="9"/>
  <c r="N5" i="9"/>
  <c r="L5" i="9"/>
  <c r="N22" i="9"/>
  <c r="L22" i="9"/>
  <c r="N13" i="9"/>
  <c r="L13" i="9"/>
  <c r="N18" i="9"/>
  <c r="L18" i="9"/>
  <c r="K37" i="9"/>
  <c r="V6" i="9"/>
  <c r="N25" i="9"/>
  <c r="L25" i="9"/>
  <c r="N27" i="9"/>
  <c r="L27" i="9"/>
  <c r="N35" i="9"/>
  <c r="L35" i="9"/>
  <c r="N15" i="9"/>
  <c r="L15" i="9"/>
  <c r="N29" i="9"/>
  <c r="L29" i="9"/>
  <c r="K37" i="8"/>
  <c r="V6" i="8"/>
  <c r="N13" i="8"/>
  <c r="L13" i="8"/>
  <c r="N30" i="8"/>
  <c r="L30" i="8"/>
  <c r="N14" i="8"/>
  <c r="L14" i="8"/>
  <c r="N11" i="8"/>
  <c r="L11" i="8"/>
  <c r="J37" i="8"/>
  <c r="V7" i="8"/>
  <c r="N5" i="8"/>
  <c r="L5" i="8"/>
  <c r="N32" i="8"/>
  <c r="L32" i="8"/>
  <c r="N29" i="8"/>
  <c r="L29" i="8"/>
  <c r="N26" i="8"/>
  <c r="L26" i="8"/>
  <c r="N33" i="8"/>
  <c r="L33" i="8"/>
  <c r="N12" i="8"/>
  <c r="L12" i="8"/>
  <c r="N23" i="8"/>
  <c r="L23" i="8"/>
  <c r="N8" i="8"/>
  <c r="L8" i="8"/>
  <c r="N19" i="8"/>
  <c r="L19" i="8"/>
  <c r="N31" i="8"/>
  <c r="L31" i="8"/>
  <c r="N27" i="8"/>
  <c r="L27" i="8"/>
  <c r="N24" i="8"/>
  <c r="L24" i="8"/>
  <c r="N18" i="8"/>
  <c r="L18" i="8"/>
  <c r="N20" i="8"/>
  <c r="L20" i="8"/>
  <c r="N35" i="8"/>
  <c r="L35" i="8"/>
  <c r="K37" i="7"/>
  <c r="N21" i="8"/>
  <c r="L21" i="8"/>
  <c r="N7" i="8"/>
  <c r="L7" i="8"/>
  <c r="N17" i="8"/>
  <c r="L17" i="8"/>
  <c r="N25" i="8"/>
  <c r="L25" i="8"/>
  <c r="N12" i="7"/>
  <c r="L12" i="7"/>
  <c r="N14" i="7"/>
  <c r="L14" i="7"/>
  <c r="N6" i="7"/>
  <c r="L6" i="7"/>
  <c r="N25" i="7"/>
  <c r="L25" i="7"/>
  <c r="N17" i="7"/>
  <c r="L17" i="7"/>
  <c r="N8" i="7"/>
  <c r="L8" i="7"/>
  <c r="N31" i="7"/>
  <c r="L31" i="7"/>
  <c r="N21" i="7"/>
  <c r="L21" i="7"/>
  <c r="N29" i="7"/>
  <c r="L29" i="7"/>
  <c r="N20" i="7"/>
  <c r="L20" i="7"/>
  <c r="V6" i="7"/>
  <c r="N16" i="7"/>
  <c r="L16" i="7"/>
  <c r="N11" i="7"/>
  <c r="L11" i="7"/>
  <c r="N13" i="7"/>
  <c r="L13" i="7"/>
  <c r="N28" i="7"/>
  <c r="L28" i="7"/>
  <c r="N34" i="7"/>
  <c r="L34" i="7"/>
  <c r="N32" i="7"/>
  <c r="L32" i="7"/>
  <c r="N19" i="7"/>
  <c r="L19" i="7"/>
  <c r="N7" i="7"/>
  <c r="L7" i="7"/>
  <c r="N23" i="7"/>
  <c r="L23" i="7"/>
  <c r="N26" i="7"/>
  <c r="L26" i="7"/>
  <c r="N18" i="7"/>
  <c r="L18" i="7"/>
  <c r="V7" i="7"/>
  <c r="N22" i="7"/>
  <c r="L22" i="7"/>
  <c r="N33" i="7"/>
  <c r="L33" i="7"/>
  <c r="N9" i="7"/>
  <c r="L9" i="7"/>
  <c r="N30" i="7"/>
  <c r="L30" i="7"/>
  <c r="N24" i="7"/>
  <c r="L24" i="7"/>
  <c r="J37" i="7"/>
  <c r="N10" i="7"/>
  <c r="L10" i="7"/>
  <c r="N27" i="7"/>
  <c r="L27" i="7"/>
  <c r="N15" i="7"/>
  <c r="L15" i="7"/>
  <c r="K37" i="6"/>
  <c r="V6" i="6"/>
  <c r="N24" i="6"/>
  <c r="L24" i="6"/>
  <c r="N11" i="6"/>
  <c r="L11" i="6"/>
  <c r="N12" i="6"/>
  <c r="L12" i="6"/>
  <c r="N28" i="6"/>
  <c r="L28" i="6"/>
  <c r="N13" i="6"/>
  <c r="L13" i="6"/>
  <c r="N9" i="6"/>
  <c r="L9" i="6"/>
  <c r="N18" i="6"/>
  <c r="L18" i="6"/>
  <c r="J37" i="6"/>
  <c r="N5" i="6"/>
  <c r="V7" i="6"/>
  <c r="L5" i="6"/>
  <c r="N25" i="6"/>
  <c r="L25" i="6"/>
  <c r="N19" i="6"/>
  <c r="L19" i="6"/>
  <c r="N31" i="6"/>
  <c r="L31" i="6"/>
  <c r="N30" i="6"/>
  <c r="L30" i="6"/>
  <c r="N14" i="6"/>
  <c r="L14" i="6"/>
  <c r="N33" i="6"/>
  <c r="L33" i="6"/>
  <c r="N22" i="6"/>
  <c r="L22" i="6"/>
  <c r="N27" i="6"/>
  <c r="L27" i="6"/>
  <c r="N10" i="6"/>
  <c r="L10" i="6"/>
  <c r="N21" i="6"/>
  <c r="L21" i="6"/>
  <c r="N15" i="6"/>
  <c r="L15" i="6"/>
  <c r="N17" i="6"/>
  <c r="L17" i="6"/>
  <c r="N32" i="6"/>
  <c r="L32" i="6"/>
  <c r="N26" i="6"/>
  <c r="L26" i="6"/>
  <c r="N20" i="6"/>
  <c r="L20" i="6"/>
  <c r="N16" i="6"/>
  <c r="L16" i="6"/>
  <c r="N6" i="6"/>
  <c r="L6" i="6"/>
  <c r="N8" i="6"/>
  <c r="L8" i="6"/>
  <c r="N35" i="6"/>
  <c r="L35" i="6"/>
  <c r="N29" i="6"/>
  <c r="L29" i="6"/>
  <c r="N23" i="6"/>
  <c r="L23" i="6"/>
  <c r="N7" i="6"/>
  <c r="L7" i="6"/>
  <c r="N34" i="6"/>
  <c r="L34" i="6"/>
  <c r="N26" i="5"/>
  <c r="L26" i="5"/>
  <c r="N27" i="5"/>
  <c r="L27" i="5"/>
  <c r="N6" i="5"/>
  <c r="L6" i="5"/>
  <c r="N34" i="5"/>
  <c r="L34" i="5"/>
  <c r="N28" i="5"/>
  <c r="L28" i="5"/>
  <c r="N30" i="5"/>
  <c r="L30" i="5"/>
  <c r="N21" i="5"/>
  <c r="L21" i="5"/>
  <c r="N9" i="5"/>
  <c r="L9" i="5"/>
  <c r="N29" i="5"/>
  <c r="L29" i="5"/>
  <c r="N32" i="5"/>
  <c r="L32" i="5"/>
  <c r="N16" i="5"/>
  <c r="L16" i="5"/>
  <c r="N15" i="5"/>
  <c r="L15" i="5"/>
  <c r="N20" i="5"/>
  <c r="L20" i="5"/>
  <c r="N23" i="5"/>
  <c r="L23" i="5"/>
  <c r="N14" i="5"/>
  <c r="L14" i="5"/>
  <c r="N17" i="5"/>
  <c r="L17" i="5"/>
  <c r="N33" i="5"/>
  <c r="L33" i="5"/>
  <c r="N10" i="5"/>
  <c r="L10" i="5"/>
  <c r="N18" i="5"/>
  <c r="L18" i="5"/>
  <c r="N31" i="5"/>
  <c r="L31" i="5"/>
  <c r="K37" i="5"/>
  <c r="V6" i="5"/>
  <c r="N8" i="5"/>
  <c r="L8" i="5"/>
  <c r="N25" i="5"/>
  <c r="L25" i="5"/>
  <c r="N19" i="5"/>
  <c r="L19" i="5"/>
  <c r="N12" i="5"/>
  <c r="L12" i="5"/>
  <c r="N24" i="5"/>
  <c r="L24" i="5"/>
  <c r="V7" i="5"/>
  <c r="J37" i="5"/>
  <c r="N5" i="5"/>
  <c r="L5" i="5"/>
  <c r="N11" i="5"/>
  <c r="L11" i="5"/>
  <c r="N13" i="5"/>
  <c r="L13" i="5"/>
  <c r="N7" i="5"/>
  <c r="L7" i="5"/>
  <c r="N22" i="5"/>
  <c r="L22" i="5"/>
  <c r="N32" i="4"/>
  <c r="L32" i="4"/>
  <c r="N24" i="4"/>
  <c r="L24" i="4"/>
  <c r="N27" i="4"/>
  <c r="L27" i="4"/>
  <c r="N21" i="4"/>
  <c r="L21" i="4"/>
  <c r="N15" i="4"/>
  <c r="L15" i="4"/>
  <c r="N26" i="4"/>
  <c r="L26" i="4"/>
  <c r="N6" i="4"/>
  <c r="L6" i="4"/>
  <c r="V7" i="4"/>
  <c r="J37" i="4"/>
  <c r="N5" i="4"/>
  <c r="L5" i="4"/>
  <c r="N20" i="4"/>
  <c r="L20" i="4"/>
  <c r="N35" i="4"/>
  <c r="L35" i="4"/>
  <c r="N14" i="4"/>
  <c r="L14" i="4"/>
  <c r="N29" i="4"/>
  <c r="L29" i="4"/>
  <c r="N23" i="4"/>
  <c r="L23" i="4"/>
  <c r="N34" i="4"/>
  <c r="L34" i="4"/>
  <c r="N17" i="4"/>
  <c r="L17" i="4"/>
  <c r="N30" i="4"/>
  <c r="L30" i="4"/>
  <c r="N10" i="4"/>
  <c r="L10" i="4"/>
  <c r="K37" i="4"/>
  <c r="V6" i="4"/>
  <c r="N8" i="4"/>
  <c r="L8" i="4"/>
  <c r="N18" i="4"/>
  <c r="L18" i="4"/>
  <c r="N16" i="4"/>
  <c r="L16" i="4"/>
  <c r="N31" i="4"/>
  <c r="L31" i="4"/>
  <c r="N28" i="4"/>
  <c r="L28" i="4"/>
  <c r="N25" i="4"/>
  <c r="L25" i="4"/>
  <c r="N7" i="4"/>
  <c r="L7" i="4"/>
  <c r="N19" i="4"/>
  <c r="L19" i="4"/>
  <c r="N22" i="4"/>
  <c r="L22" i="4"/>
  <c r="N13" i="4"/>
  <c r="L13" i="4"/>
  <c r="N9" i="4"/>
  <c r="L9" i="4"/>
  <c r="N33" i="4"/>
  <c r="L33" i="4"/>
  <c r="N11" i="4"/>
  <c r="L11" i="4"/>
  <c r="N12" i="4"/>
  <c r="L12" i="4"/>
  <c r="N20" i="3"/>
  <c r="L20" i="3"/>
  <c r="J37" i="3"/>
  <c r="V7" i="3"/>
  <c r="N5" i="3"/>
  <c r="L5" i="3"/>
  <c r="N14" i="3"/>
  <c r="L14" i="3"/>
  <c r="N18" i="3"/>
  <c r="L18" i="3"/>
  <c r="K37" i="3"/>
  <c r="V6" i="3"/>
  <c r="N15" i="3"/>
  <c r="L15" i="3"/>
  <c r="N29" i="3"/>
  <c r="L29" i="3"/>
  <c r="N31" i="3"/>
  <c r="L31" i="3"/>
  <c r="N10" i="3"/>
  <c r="L10" i="3"/>
  <c r="N19" i="3"/>
  <c r="L19" i="3"/>
  <c r="N13" i="3"/>
  <c r="L13" i="3"/>
  <c r="N28" i="3"/>
  <c r="L28" i="3"/>
  <c r="N16" i="3"/>
  <c r="L16" i="3"/>
  <c r="N24" i="3"/>
  <c r="L24" i="3"/>
  <c r="N32" i="3"/>
  <c r="L32" i="3"/>
  <c r="N12" i="3"/>
  <c r="L12" i="3"/>
  <c r="N7" i="3"/>
  <c r="L7" i="3"/>
  <c r="N8" i="3"/>
  <c r="L8" i="3"/>
  <c r="N17" i="3"/>
  <c r="L17" i="3"/>
  <c r="N6" i="3"/>
  <c r="L6" i="3"/>
  <c r="N22" i="3"/>
  <c r="L22" i="3"/>
  <c r="N30" i="3"/>
  <c r="L30" i="3"/>
  <c r="N9" i="3"/>
  <c r="L9" i="3"/>
  <c r="N26" i="3"/>
  <c r="L26" i="3"/>
  <c r="N11" i="3"/>
  <c r="L11" i="3"/>
  <c r="N27" i="3"/>
  <c r="L27" i="3"/>
  <c r="N21" i="3"/>
  <c r="L21" i="3"/>
  <c r="N23" i="3"/>
  <c r="L23" i="3"/>
  <c r="N25" i="3"/>
  <c r="L25" i="3"/>
  <c r="L16" i="1"/>
  <c r="N14" i="1"/>
  <c r="L14" i="1"/>
  <c r="N15" i="1"/>
  <c r="L15" i="1"/>
  <c r="AX18" i="1"/>
  <c r="N8" i="1"/>
  <c r="L8" i="1"/>
  <c r="N11" i="1"/>
  <c r="L11" i="1"/>
  <c r="N10" i="1"/>
  <c r="L10" i="1"/>
  <c r="C19" i="1"/>
  <c r="B20" i="1"/>
  <c r="AW19" i="1"/>
  <c r="AV19" i="1"/>
  <c r="AU19" i="1" s="1"/>
  <c r="N12" i="1"/>
  <c r="L12" i="1"/>
  <c r="N9" i="1"/>
  <c r="L9" i="1"/>
  <c r="N7" i="1"/>
  <c r="L7" i="1"/>
  <c r="N5" i="1"/>
  <c r="L5" i="1"/>
  <c r="N13" i="1"/>
  <c r="L13" i="1"/>
  <c r="BB18" i="1"/>
  <c r="K18" i="1" s="1"/>
  <c r="AY18" i="1"/>
  <c r="I18" i="1" s="1"/>
  <c r="N6" i="1"/>
  <c r="L6" i="1"/>
  <c r="L17" i="1" l="1"/>
  <c r="J18" i="1"/>
  <c r="M19" i="1"/>
  <c r="V8" i="13"/>
  <c r="L37" i="13"/>
  <c r="N37" i="13"/>
  <c r="N37" i="12"/>
  <c r="V8" i="12"/>
  <c r="L37" i="12"/>
  <c r="N37" i="11"/>
  <c r="V8" i="11"/>
  <c r="L37" i="11"/>
  <c r="V8" i="10"/>
  <c r="L37" i="10"/>
  <c r="N37" i="10"/>
  <c r="V8" i="9"/>
  <c r="L37" i="9"/>
  <c r="N37" i="9"/>
  <c r="L37" i="7"/>
  <c r="N37" i="7"/>
  <c r="V8" i="8"/>
  <c r="L37" i="8"/>
  <c r="N37" i="8"/>
  <c r="V8" i="7"/>
  <c r="N37" i="6"/>
  <c r="V8" i="6"/>
  <c r="L37" i="6"/>
  <c r="L37" i="5"/>
  <c r="V8" i="5"/>
  <c r="N37" i="5"/>
  <c r="N37" i="4"/>
  <c r="V8" i="4"/>
  <c r="L37" i="4"/>
  <c r="V8" i="3"/>
  <c r="L37" i="3"/>
  <c r="N37" i="3"/>
  <c r="AX19" i="1"/>
  <c r="N18" i="1"/>
  <c r="L18" i="1"/>
  <c r="AV20" i="1"/>
  <c r="AU20" i="1" s="1"/>
  <c r="C20" i="1"/>
  <c r="AW20" i="1"/>
  <c r="B21" i="1"/>
  <c r="AY19" i="1"/>
  <c r="I19" i="1" s="1"/>
  <c r="BB19" i="1"/>
  <c r="K19" i="1" s="1"/>
  <c r="J19" i="1" l="1"/>
  <c r="N19" i="1" s="1"/>
  <c r="M20" i="1"/>
  <c r="B22" i="1"/>
  <c r="AW21" i="1"/>
  <c r="AV21" i="1"/>
  <c r="AU21" i="1" s="1"/>
  <c r="C21" i="1"/>
  <c r="BB20" i="1"/>
  <c r="K20" i="1" s="1"/>
  <c r="AY20" i="1"/>
  <c r="I20" i="1" s="1"/>
  <c r="AX20" i="1"/>
  <c r="L19" i="1" l="1"/>
  <c r="J20" i="1"/>
  <c r="N20" i="1" s="1"/>
  <c r="M21" i="1"/>
  <c r="AX21" i="1"/>
  <c r="B23" i="1"/>
  <c r="AW22" i="1"/>
  <c r="AV22" i="1"/>
  <c r="AU22" i="1" s="1"/>
  <c r="C22" i="1"/>
  <c r="BB21" i="1"/>
  <c r="K21" i="1" s="1"/>
  <c r="AY21" i="1"/>
  <c r="I21" i="1" s="1"/>
  <c r="L20" i="1" l="1"/>
  <c r="J21" i="1"/>
  <c r="N21" i="1" s="1"/>
  <c r="M22" i="1"/>
  <c r="C23" i="1"/>
  <c r="B24" i="1"/>
  <c r="AV23" i="1"/>
  <c r="AU23" i="1" s="1"/>
  <c r="AW23" i="1"/>
  <c r="BB22" i="1"/>
  <c r="K22" i="1" s="1"/>
  <c r="AY22" i="1"/>
  <c r="I22" i="1" s="1"/>
  <c r="L21" i="1" l="1"/>
  <c r="M23" i="1"/>
  <c r="AX22" i="1"/>
  <c r="J22" i="1" s="1"/>
  <c r="B25" i="1"/>
  <c r="AW24" i="1"/>
  <c r="AV24" i="1"/>
  <c r="C24" i="1"/>
  <c r="AY23" i="1"/>
  <c r="I23" i="1" s="1"/>
  <c r="BB23" i="1"/>
  <c r="K23" i="1" s="1"/>
  <c r="M24" i="1" l="1"/>
  <c r="AU24" i="1"/>
  <c r="AX23" i="1"/>
  <c r="J23" i="1" s="1"/>
  <c r="N22" i="1"/>
  <c r="L22" i="1"/>
  <c r="AX24" i="1"/>
  <c r="C25" i="1"/>
  <c r="B26" i="1"/>
  <c r="AW25" i="1"/>
  <c r="AV25" i="1"/>
  <c r="BB24" i="1"/>
  <c r="K24" i="1" s="1"/>
  <c r="AY24" i="1"/>
  <c r="I24" i="1" s="1"/>
  <c r="J24" i="1" l="1"/>
  <c r="N24" i="1" s="1"/>
  <c r="M25" i="1"/>
  <c r="AU25" i="1"/>
  <c r="N23" i="1"/>
  <c r="L23" i="1"/>
  <c r="B27" i="1"/>
  <c r="AW26" i="1"/>
  <c r="AV26" i="1"/>
  <c r="C26" i="1"/>
  <c r="AY25" i="1"/>
  <c r="I25" i="1" s="1"/>
  <c r="BB25" i="1"/>
  <c r="K25" i="1" s="1"/>
  <c r="L24" i="1"/>
  <c r="AX25" i="1"/>
  <c r="J25" i="1" l="1"/>
  <c r="N25" i="1" s="1"/>
  <c r="M26" i="1"/>
  <c r="AU26" i="1"/>
  <c r="BB26" i="1"/>
  <c r="AX26" i="1" s="1"/>
  <c r="AY26" i="1"/>
  <c r="I26" i="1" s="1"/>
  <c r="C27" i="1"/>
  <c r="AV27" i="1"/>
  <c r="AW27" i="1"/>
  <c r="B28" i="1"/>
  <c r="J26" i="1" l="1"/>
  <c r="N26" i="1" s="1"/>
  <c r="L25" i="1"/>
  <c r="M27" i="1"/>
  <c r="AU27" i="1"/>
  <c r="K26" i="1"/>
  <c r="B29" i="1"/>
  <c r="AW28" i="1"/>
  <c r="AV28" i="1"/>
  <c r="C28" i="1"/>
  <c r="AY27" i="1"/>
  <c r="I27" i="1" s="1"/>
  <c r="BB27" i="1"/>
  <c r="K27" i="1" s="1"/>
  <c r="L26" i="1" l="1"/>
  <c r="M28" i="1"/>
  <c r="AU28" i="1"/>
  <c r="AX27" i="1"/>
  <c r="J27" i="1" s="1"/>
  <c r="N27" i="1" s="1"/>
  <c r="AX28" i="1"/>
  <c r="C29" i="1"/>
  <c r="AW29" i="1"/>
  <c r="AV29" i="1"/>
  <c r="B30" i="1"/>
  <c r="BB28" i="1"/>
  <c r="K28" i="1" s="1"/>
  <c r="AY28" i="1"/>
  <c r="I28" i="1" s="1"/>
  <c r="J28" i="1" l="1"/>
  <c r="N28" i="1" s="1"/>
  <c r="M29" i="1"/>
  <c r="AU29" i="1"/>
  <c r="L27" i="1"/>
  <c r="B31" i="1"/>
  <c r="AW30" i="1"/>
  <c r="AV30" i="1"/>
  <c r="C30" i="1"/>
  <c r="AX29" i="1"/>
  <c r="AY29" i="1"/>
  <c r="I29" i="1" s="1"/>
  <c r="BB29" i="1"/>
  <c r="K29" i="1" s="1"/>
  <c r="L28" i="1" l="1"/>
  <c r="J29" i="1"/>
  <c r="N29" i="1" s="1"/>
  <c r="M30" i="1"/>
  <c r="AU30" i="1"/>
  <c r="BB30" i="1"/>
  <c r="K30" i="1" s="1"/>
  <c r="AY30" i="1"/>
  <c r="I30" i="1" s="1"/>
  <c r="C31" i="1"/>
  <c r="B32" i="1"/>
  <c r="AW31" i="1"/>
  <c r="AV31" i="1"/>
  <c r="AU31" i="1" s="1"/>
  <c r="L29" i="1" l="1"/>
  <c r="M31" i="1"/>
  <c r="AX30" i="1"/>
  <c r="J30" i="1" s="1"/>
  <c r="N30" i="1" s="1"/>
  <c r="B33" i="1"/>
  <c r="AW32" i="1"/>
  <c r="AV32" i="1"/>
  <c r="AU32" i="1" s="1"/>
  <c r="C32" i="1"/>
  <c r="AY31" i="1"/>
  <c r="I31" i="1" s="1"/>
  <c r="BB31" i="1"/>
  <c r="K31" i="1" s="1"/>
  <c r="AX31" i="1"/>
  <c r="J31" i="1" l="1"/>
  <c r="M32" i="1"/>
  <c r="L30" i="1"/>
  <c r="BB32" i="1"/>
  <c r="K32" i="1" s="1"/>
  <c r="AY32" i="1"/>
  <c r="I32" i="1" s="1"/>
  <c r="N31" i="1"/>
  <c r="L31" i="1"/>
  <c r="C33" i="1"/>
  <c r="AW33" i="1"/>
  <c r="AV33" i="1"/>
  <c r="B34" i="1"/>
  <c r="AX32" i="1"/>
  <c r="J32" i="1" l="1"/>
  <c r="N32" i="1" s="1"/>
  <c r="M33" i="1"/>
  <c r="AU33" i="1"/>
  <c r="L32" i="1"/>
  <c r="AX33" i="1"/>
  <c r="B35" i="1"/>
  <c r="AW34" i="1"/>
  <c r="AV34" i="1"/>
  <c r="C34" i="1"/>
  <c r="AY33" i="1"/>
  <c r="I33" i="1" s="1"/>
  <c r="BB33" i="1"/>
  <c r="K33" i="1" s="1"/>
  <c r="J33" i="1" l="1"/>
  <c r="N33" i="1" s="1"/>
  <c r="M34" i="1"/>
  <c r="AU34" i="1"/>
  <c r="AX34" i="1"/>
  <c r="C35" i="1"/>
  <c r="AV35" i="1"/>
  <c r="AU35" i="1" s="1"/>
  <c r="AW35" i="1"/>
  <c r="BB34" i="1"/>
  <c r="K34" i="1" s="1"/>
  <c r="AY34" i="1"/>
  <c r="I34" i="1" s="1"/>
  <c r="L33" i="1" l="1"/>
  <c r="J34" i="1"/>
  <c r="N34" i="1" s="1"/>
  <c r="M35" i="1"/>
  <c r="AY35" i="1"/>
  <c r="I35" i="1" s="1"/>
  <c r="BB35" i="1"/>
  <c r="K35" i="1" s="1"/>
  <c r="AX35" i="1"/>
  <c r="M37" i="1" s="1"/>
  <c r="L34" i="1" l="1"/>
  <c r="K37" i="1"/>
  <c r="V6" i="1"/>
  <c r="J35" i="1"/>
  <c r="V7" i="1" s="1"/>
  <c r="L35" i="1" l="1"/>
  <c r="J37" i="1"/>
  <c r="N35" i="1"/>
  <c r="N37" i="1" s="1"/>
  <c r="L37" i="1" l="1"/>
  <c r="V8" i="1"/>
  <c r="V10" i="1" s="1"/>
  <c r="F2" i="16"/>
  <c r="D2" i="16"/>
  <c r="V5" i="3"/>
  <c r="V10" i="3" l="1"/>
  <c r="A3" i="16"/>
  <c r="V5" i="4"/>
  <c r="C2" i="16"/>
  <c r="B2" i="16"/>
  <c r="C3" i="16"/>
  <c r="V10" i="4" l="1"/>
  <c r="A4" i="16"/>
  <c r="E3" i="16"/>
  <c r="V5" i="5"/>
  <c r="F3" i="16"/>
  <c r="G4" i="16"/>
  <c r="B3" i="16"/>
  <c r="G3" i="16"/>
  <c r="D3" i="16"/>
  <c r="E4" i="16"/>
  <c r="V10" i="5" l="1"/>
  <c r="A5" i="16"/>
  <c r="B4" i="16"/>
  <c r="E5" i="16"/>
  <c r="V5" i="6"/>
  <c r="D4" i="16"/>
  <c r="C4" i="16"/>
  <c r="F4" i="16"/>
  <c r="V10" i="6" l="1"/>
  <c r="A6" i="16"/>
  <c r="C5" i="16"/>
  <c r="E6" i="16"/>
  <c r="D5" i="16"/>
  <c r="B5" i="16"/>
  <c r="F5" i="16"/>
  <c r="G5" i="16"/>
  <c r="V5" i="7"/>
  <c r="V10" i="7" l="1"/>
  <c r="A7" i="16"/>
  <c r="V5" i="8"/>
  <c r="G6" i="16"/>
  <c r="C6" i="16"/>
  <c r="D6" i="16"/>
  <c r="G7" i="16"/>
  <c r="D7" i="16"/>
  <c r="B6" i="16"/>
  <c r="F6" i="16"/>
  <c r="V10" i="8" l="1"/>
  <c r="A8" i="16"/>
  <c r="C7" i="16"/>
  <c r="F7" i="16"/>
  <c r="E8" i="16"/>
  <c r="F8" i="16"/>
  <c r="V5" i="9"/>
  <c r="B7" i="16"/>
  <c r="E7" i="16"/>
  <c r="V10" i="9" l="1"/>
  <c r="A9" i="16"/>
  <c r="B8" i="16"/>
  <c r="F9" i="16"/>
  <c r="V5" i="10"/>
  <c r="D8" i="16"/>
  <c r="C8" i="16"/>
  <c r="G8" i="16"/>
  <c r="D9" i="16"/>
  <c r="V10" i="10" l="1"/>
  <c r="A10" i="16"/>
  <c r="B9" i="16"/>
  <c r="C9" i="16"/>
  <c r="V5" i="11"/>
  <c r="G9" i="16"/>
  <c r="E9" i="16"/>
  <c r="G10" i="16"/>
  <c r="V10" i="11" l="1"/>
  <c r="A11" i="16"/>
  <c r="D10" i="16"/>
  <c r="F10" i="16"/>
  <c r="B10" i="16"/>
  <c r="D11" i="16"/>
  <c r="V5" i="12"/>
  <c r="E11" i="16"/>
  <c r="G11" i="16"/>
  <c r="E10" i="16"/>
  <c r="C10" i="16"/>
  <c r="F11" i="16"/>
  <c r="V10" i="12" l="1"/>
  <c r="A12" i="16"/>
  <c r="B11" i="16"/>
  <c r="V5" i="13"/>
  <c r="C11" i="16"/>
  <c r="G12" i="16"/>
  <c r="V10" i="13" l="1"/>
  <c r="A13" i="16"/>
  <c r="B12" i="16"/>
  <c r="E13" i="16"/>
  <c r="D13" i="16"/>
  <c r="C12" i="16"/>
  <c r="B13" i="16"/>
  <c r="F13" i="16"/>
  <c r="D12" i="16"/>
  <c r="E12" i="16"/>
  <c r="G13" i="16"/>
  <c r="C13" i="16"/>
  <c r="F1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memic</author>
    <author>Sejla Memic</author>
  </authors>
  <commentList>
    <comment ref="J4" authorId="0" shapeId="0" xr:uid="{00000000-0006-0000-0000-000001000000}">
      <text>
        <r>
          <rPr>
            <b/>
            <sz val="11"/>
            <color indexed="81"/>
            <rFont val="Segoe UI"/>
            <family val="2"/>
          </rPr>
          <t>Istzeit inkl. Abwesenheit</t>
        </r>
      </text>
    </comment>
    <comment ref="K4" authorId="1" shapeId="0" xr:uid="{00000000-0006-0000-0000-000002000000}">
      <text>
        <r>
          <rPr>
            <b/>
            <sz val="10"/>
            <color indexed="81"/>
            <rFont val="Segoe UI"/>
            <family val="2"/>
          </rPr>
          <t>Wir automatisch aus Wochenplan übernommen. Bitte Änderungen nur im Wochenplan vornehmen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4" authorId="0" shapeId="0" xr:uid="{00000000-0006-0000-0000-000003000000}">
      <text>
        <r>
          <rPr>
            <b/>
            <sz val="11"/>
            <color indexed="81"/>
            <rFont val="Segoe UI"/>
            <family val="2"/>
          </rPr>
          <t>Wird Automatisch gefüllt!
Abwesenheiten bitte im Urlaubskalender eintragen!</t>
        </r>
      </text>
    </comment>
    <comment ref="Q5" authorId="1" shapeId="0" xr:uid="{00000000-0006-0000-0000-000004000000}">
      <text>
        <r>
          <rPr>
            <b/>
            <sz val="10"/>
            <color indexed="81"/>
            <rFont val="Segoe UI"/>
            <family val="2"/>
          </rPr>
          <t>Hier die Sollzeit eingeben</t>
        </r>
      </text>
    </comment>
    <comment ref="R5" authorId="1" shapeId="0" xr:uid="{00000000-0006-0000-0000-000005000000}">
      <text>
        <r>
          <rPr>
            <b/>
            <sz val="10"/>
            <color indexed="81"/>
            <rFont val="Segoe UI"/>
            <family val="2"/>
          </rPr>
          <t xml:space="preserve">Hier die Pause eingeben. 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S5" authorId="1" shapeId="0" xr:uid="{00000000-0006-0000-0000-000006000000}">
      <text>
        <r>
          <rPr>
            <b/>
            <sz val="10"/>
            <color indexed="81"/>
            <rFont val="Segoe UI"/>
            <family val="2"/>
          </rPr>
          <t>Hier Stundenlohn eingeben.</t>
        </r>
      </text>
    </comment>
    <comment ref="U9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Hier kann eine manuelle Korrektur eingeben werden.
Für eine negative Zeit bitte nach einem Minuszeichen die Uhrzeit in Anführungszeichen eingeben: 
z.B   -"10:00"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memic</author>
    <author>Sejla Memic</author>
  </authors>
  <commentList>
    <comment ref="J4" authorId="0" shapeId="0" xr:uid="{00000000-0006-0000-0900-000001000000}">
      <text>
        <r>
          <rPr>
            <b/>
            <sz val="11"/>
            <color indexed="81"/>
            <rFont val="Segoe UI"/>
            <family val="2"/>
          </rPr>
          <t>Istzeit inkl. Abwesenheit</t>
        </r>
      </text>
    </comment>
    <comment ref="K4" authorId="1" shapeId="0" xr:uid="{00000000-0006-0000-0900-000002000000}">
      <text>
        <r>
          <rPr>
            <b/>
            <sz val="10"/>
            <color indexed="81"/>
            <rFont val="Segoe UI"/>
            <family val="2"/>
          </rPr>
          <t>Wir automatisch aus Wochenplan übernommen. Bitte Änderungen nur im Wochenplan vornehmen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4" authorId="0" shapeId="0" xr:uid="{00000000-0006-0000-0900-000003000000}">
      <text>
        <r>
          <rPr>
            <b/>
            <sz val="11"/>
            <color indexed="81"/>
            <rFont val="Segoe UI"/>
            <family val="2"/>
          </rPr>
          <t>Wird Automatisch gefüllt!
Abwesenheiten bitte im Urlaubskalender eintragen!</t>
        </r>
      </text>
    </comment>
    <comment ref="Q5" authorId="1" shapeId="0" xr:uid="{00000000-0006-0000-0900-000004000000}">
      <text>
        <r>
          <rPr>
            <b/>
            <sz val="10"/>
            <color indexed="81"/>
            <rFont val="Segoe UI"/>
            <family val="2"/>
          </rPr>
          <t>Hier die Sollzeit eingeben</t>
        </r>
      </text>
    </comment>
    <comment ref="R5" authorId="1" shapeId="0" xr:uid="{00000000-0006-0000-0900-000005000000}">
      <text>
        <r>
          <rPr>
            <b/>
            <sz val="10"/>
            <color indexed="81"/>
            <rFont val="Segoe UI"/>
            <family val="2"/>
          </rPr>
          <t xml:space="preserve">Hier die Pause eingeben. 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S5" authorId="1" shapeId="0" xr:uid="{00000000-0006-0000-0900-000006000000}">
      <text>
        <r>
          <rPr>
            <b/>
            <sz val="10"/>
            <color indexed="81"/>
            <rFont val="Segoe UI"/>
            <family val="2"/>
          </rPr>
          <t>Hier Stundenlohn eingeben.</t>
        </r>
      </text>
    </comment>
    <comment ref="U9" authorId="0" shapeId="0" xr:uid="{00000000-0006-0000-0900-000007000000}">
      <text>
        <r>
          <rPr>
            <b/>
            <sz val="9"/>
            <color indexed="81"/>
            <rFont val="Segoe UI"/>
            <family val="2"/>
          </rPr>
          <t>Hier kann eine manuelle Korrektur eingeben werden.
Für eine negative Zeit bitte nach einem Minuszeichen die Uhrzeit in Anführungszeichen eingeben: 
z.B   -"10:00"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memic</author>
    <author>Sejla Memic</author>
  </authors>
  <commentList>
    <comment ref="J4" authorId="0" shapeId="0" xr:uid="{00000000-0006-0000-0A00-000001000000}">
      <text>
        <r>
          <rPr>
            <b/>
            <sz val="11"/>
            <color indexed="81"/>
            <rFont val="Segoe UI"/>
            <family val="2"/>
          </rPr>
          <t>Istzeit inkl. Abwesenheit</t>
        </r>
      </text>
    </comment>
    <comment ref="K4" authorId="1" shapeId="0" xr:uid="{00000000-0006-0000-0A00-000002000000}">
      <text>
        <r>
          <rPr>
            <b/>
            <sz val="10"/>
            <color indexed="81"/>
            <rFont val="Segoe UI"/>
            <family val="2"/>
          </rPr>
          <t>Wir automatisch aus Wochenplan übernommen. Bitte Änderungen nur im Wochenplan vornehmen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4" authorId="0" shapeId="0" xr:uid="{00000000-0006-0000-0A00-000003000000}">
      <text>
        <r>
          <rPr>
            <b/>
            <sz val="11"/>
            <color indexed="81"/>
            <rFont val="Segoe UI"/>
            <family val="2"/>
          </rPr>
          <t>Wird Automatisch gefüllt!
Abwesenheiten bitte im Urlaubskalender eintragen!</t>
        </r>
      </text>
    </comment>
    <comment ref="Q5" authorId="1" shapeId="0" xr:uid="{00000000-0006-0000-0A00-000004000000}">
      <text>
        <r>
          <rPr>
            <b/>
            <sz val="10"/>
            <color indexed="81"/>
            <rFont val="Segoe UI"/>
            <family val="2"/>
          </rPr>
          <t>Hier die Sollzeit eingeben</t>
        </r>
      </text>
    </comment>
    <comment ref="R5" authorId="1" shapeId="0" xr:uid="{00000000-0006-0000-0A00-000005000000}">
      <text>
        <r>
          <rPr>
            <b/>
            <sz val="10"/>
            <color indexed="81"/>
            <rFont val="Segoe UI"/>
            <family val="2"/>
          </rPr>
          <t xml:space="preserve">Hier die Pause eingeben. 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S5" authorId="1" shapeId="0" xr:uid="{00000000-0006-0000-0A00-000006000000}">
      <text>
        <r>
          <rPr>
            <b/>
            <sz val="10"/>
            <color indexed="81"/>
            <rFont val="Segoe UI"/>
            <family val="2"/>
          </rPr>
          <t>Hier Stundenlohn eingeben.</t>
        </r>
      </text>
    </comment>
    <comment ref="U9" authorId="0" shapeId="0" xr:uid="{00000000-0006-0000-0A00-000007000000}">
      <text>
        <r>
          <rPr>
            <b/>
            <sz val="9"/>
            <color indexed="81"/>
            <rFont val="Segoe UI"/>
            <family val="2"/>
          </rPr>
          <t>Hier kann eine manuelle Korrektur eingeben werden.
Für eine negative Zeit bitte nach einem Minuszeichen die Uhrzeit in Anführungszeichen eingeben: 
z.B   -"10:00"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memic</author>
    <author>Sejla Memic</author>
  </authors>
  <commentList>
    <comment ref="J4" authorId="0" shapeId="0" xr:uid="{00000000-0006-0000-0B00-000001000000}">
      <text>
        <r>
          <rPr>
            <b/>
            <sz val="11"/>
            <color indexed="81"/>
            <rFont val="Segoe UI"/>
            <family val="2"/>
          </rPr>
          <t>Istzeit inkl. Abwesenheit</t>
        </r>
      </text>
    </comment>
    <comment ref="K4" authorId="1" shapeId="0" xr:uid="{00000000-0006-0000-0B00-000002000000}">
      <text>
        <r>
          <rPr>
            <b/>
            <sz val="10"/>
            <color indexed="81"/>
            <rFont val="Segoe UI"/>
            <family val="2"/>
          </rPr>
          <t>Wir automatisch aus Wochenplan übernommen. Bitte Änderungen nur im Wochenplan vornehmen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4" authorId="0" shapeId="0" xr:uid="{00000000-0006-0000-0B00-000003000000}">
      <text>
        <r>
          <rPr>
            <b/>
            <sz val="11"/>
            <color indexed="81"/>
            <rFont val="Segoe UI"/>
            <family val="2"/>
          </rPr>
          <t>Wird Automatisch gefüllt!
Abwesenheiten bitte im Urlaubskalender eintragen!</t>
        </r>
      </text>
    </comment>
    <comment ref="Q5" authorId="1" shapeId="0" xr:uid="{00000000-0006-0000-0B00-000004000000}">
      <text>
        <r>
          <rPr>
            <b/>
            <sz val="10"/>
            <color indexed="81"/>
            <rFont val="Segoe UI"/>
            <family val="2"/>
          </rPr>
          <t>Hier die Sollzeit eingeben</t>
        </r>
      </text>
    </comment>
    <comment ref="R5" authorId="1" shapeId="0" xr:uid="{00000000-0006-0000-0B00-000005000000}">
      <text>
        <r>
          <rPr>
            <b/>
            <sz val="10"/>
            <color indexed="81"/>
            <rFont val="Segoe UI"/>
            <family val="2"/>
          </rPr>
          <t xml:space="preserve">Hier die Pause eingeben. 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S5" authorId="1" shapeId="0" xr:uid="{00000000-0006-0000-0B00-000006000000}">
      <text>
        <r>
          <rPr>
            <b/>
            <sz val="10"/>
            <color indexed="81"/>
            <rFont val="Segoe UI"/>
            <family val="2"/>
          </rPr>
          <t>Hier Stundenlohn eingeben.</t>
        </r>
      </text>
    </comment>
    <comment ref="U9" authorId="0" shapeId="0" xr:uid="{00000000-0006-0000-0B00-000007000000}">
      <text>
        <r>
          <rPr>
            <b/>
            <sz val="9"/>
            <color indexed="81"/>
            <rFont val="Segoe UI"/>
            <family val="2"/>
          </rPr>
          <t>Hier kann eine manuelle Korrektur eingeben werden.
Für eine negative Zeit bitte nach einem Minuszeichen die Uhrzeit in Anführungszeichen eingeben: 
z.B   -"10:00"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  <author>memic</author>
  </authors>
  <commentList>
    <comment ref="J18" authorId="0" shapeId="0" xr:uid="{00000000-0006-0000-0C00-000001000000}">
      <text>
        <r>
          <rPr>
            <b/>
            <sz val="9"/>
            <color indexed="81"/>
            <rFont val="Segoe UI"/>
            <family val="2"/>
          </rPr>
          <t>Hier Jahresanspruch eingeben</t>
        </r>
      </text>
    </comment>
    <comment ref="S18" authorId="1" shapeId="0" xr:uid="{00000000-0006-0000-0C00-000002000000}">
      <text>
        <r>
          <rPr>
            <b/>
            <sz val="9"/>
            <color indexed="81"/>
            <rFont val="Segoe UI"/>
            <family val="2"/>
          </rPr>
          <t xml:space="preserve">Hier können Sie die Bezeichnung beliebig ändern. Die wird automatisch in der Monatsübersicht (Spalte Abwesenheit) übernommen.
</t>
        </r>
      </text>
    </comment>
    <comment ref="W18" authorId="1" shapeId="0" xr:uid="{00000000-0006-0000-0C00-000003000000}">
      <text>
        <r>
          <rPr>
            <b/>
            <sz val="9"/>
            <color indexed="81"/>
            <rFont val="Segoe UI"/>
            <family val="2"/>
          </rPr>
          <t>Die Kürzel können beliebig geändert werden.</t>
        </r>
      </text>
    </comment>
    <comment ref="Z18" authorId="1" shapeId="0" xr:uid="{00000000-0006-0000-0C00-000004000000}">
      <text>
        <r>
          <rPr>
            <b/>
            <sz val="9"/>
            <color indexed="81"/>
            <rFont val="Segoe UI"/>
            <family val="2"/>
          </rPr>
          <t xml:space="preserve">Die Kürzel können beliebig geändert werden.
</t>
        </r>
      </text>
    </comment>
    <comment ref="J19" authorId="0" shapeId="0" xr:uid="{00000000-0006-0000-0C00-000005000000}">
      <text>
        <r>
          <rPr>
            <b/>
            <sz val="9"/>
            <color indexed="81"/>
            <rFont val="Segoe UI"/>
            <family val="2"/>
          </rPr>
          <t xml:space="preserve">Hier Resturlaub aus dem Vorjahr eingeben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</authors>
  <commentList>
    <comment ref="C1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 xml:space="preserve">Ein 'x' eingeben, um Feiertage zu markieren.
Bis Zelle A49 können Sie weitere Feiertage eingeben und mit x werden weitere Feiertage in Urlaubsübersicht angezeigt.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memic</author>
    <author>Sejla Memic</author>
  </authors>
  <commentList>
    <comment ref="J4" authorId="0" shapeId="0" xr:uid="{00000000-0006-0000-0100-000001000000}">
      <text>
        <r>
          <rPr>
            <b/>
            <sz val="11"/>
            <color indexed="81"/>
            <rFont val="Segoe UI"/>
            <family val="2"/>
          </rPr>
          <t>Istzeit inkl. Abwesenheit</t>
        </r>
      </text>
    </comment>
    <comment ref="K4" authorId="1" shapeId="0" xr:uid="{00000000-0006-0000-0100-000002000000}">
      <text>
        <r>
          <rPr>
            <b/>
            <sz val="10"/>
            <color indexed="81"/>
            <rFont val="Segoe UI"/>
            <family val="2"/>
          </rPr>
          <t>Wir automatisch aus Wochenplan übernommen. Bitte Änderungen nur im Wochenplan vornehmen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4" authorId="0" shapeId="0" xr:uid="{00000000-0006-0000-0100-000003000000}">
      <text>
        <r>
          <rPr>
            <b/>
            <sz val="11"/>
            <color indexed="81"/>
            <rFont val="Segoe UI"/>
            <family val="2"/>
          </rPr>
          <t>Wird Automatisch gefüllt!
Abwesenheiten bitte im Urlaubskalender eintragen!</t>
        </r>
      </text>
    </comment>
    <comment ref="Q5" authorId="1" shapeId="0" xr:uid="{00000000-0006-0000-0100-000004000000}">
      <text>
        <r>
          <rPr>
            <b/>
            <sz val="10"/>
            <color indexed="81"/>
            <rFont val="Segoe UI"/>
            <family val="2"/>
          </rPr>
          <t>Hier die Sollzeit eingeben</t>
        </r>
      </text>
    </comment>
    <comment ref="R5" authorId="1" shapeId="0" xr:uid="{00000000-0006-0000-0100-000005000000}">
      <text>
        <r>
          <rPr>
            <b/>
            <sz val="10"/>
            <color indexed="81"/>
            <rFont val="Segoe UI"/>
            <family val="2"/>
          </rPr>
          <t xml:space="preserve">Hier die Pause eingeben. 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S5" authorId="1" shapeId="0" xr:uid="{00000000-0006-0000-0100-000006000000}">
      <text>
        <r>
          <rPr>
            <b/>
            <sz val="10"/>
            <color indexed="81"/>
            <rFont val="Segoe UI"/>
            <family val="2"/>
          </rPr>
          <t>Hier Stundenlohn eingeben.</t>
        </r>
      </text>
    </comment>
    <comment ref="U9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Hier kann eine manuelle Korrektur eingeben werden.
Für eine negative Zeit bitte nach einem Minuszeichen die Uhrzeit in Anführungszeichen eingeben: 
z.B   -"10:00"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memic</author>
    <author>Sejla Memic</author>
  </authors>
  <commentList>
    <comment ref="J4" authorId="0" shapeId="0" xr:uid="{00000000-0006-0000-0200-000001000000}">
      <text>
        <r>
          <rPr>
            <b/>
            <sz val="11"/>
            <color indexed="81"/>
            <rFont val="Segoe UI"/>
            <family val="2"/>
          </rPr>
          <t>Istzeit inkl. Abwesenheit</t>
        </r>
      </text>
    </comment>
    <comment ref="K4" authorId="1" shapeId="0" xr:uid="{00000000-0006-0000-0200-000002000000}">
      <text>
        <r>
          <rPr>
            <b/>
            <sz val="10"/>
            <color indexed="81"/>
            <rFont val="Segoe UI"/>
            <family val="2"/>
          </rPr>
          <t>Wir automatisch aus Wochenplan übernommen. Bitte Änderungen nur im Wochenplan vornehmen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4" authorId="0" shapeId="0" xr:uid="{00000000-0006-0000-0200-000003000000}">
      <text>
        <r>
          <rPr>
            <b/>
            <sz val="11"/>
            <color indexed="81"/>
            <rFont val="Segoe UI"/>
            <family val="2"/>
          </rPr>
          <t>Wird Automatisch gefüllt!
Abwesenheiten bitte im Urlaubskalender eintragen!</t>
        </r>
      </text>
    </comment>
    <comment ref="Q5" authorId="1" shapeId="0" xr:uid="{00000000-0006-0000-0200-000004000000}">
      <text>
        <r>
          <rPr>
            <b/>
            <sz val="10"/>
            <color indexed="81"/>
            <rFont val="Segoe UI"/>
            <family val="2"/>
          </rPr>
          <t>Hier die Sollzeit eingeben</t>
        </r>
      </text>
    </comment>
    <comment ref="R5" authorId="1" shapeId="0" xr:uid="{00000000-0006-0000-0200-000005000000}">
      <text>
        <r>
          <rPr>
            <b/>
            <sz val="10"/>
            <color indexed="81"/>
            <rFont val="Segoe UI"/>
            <family val="2"/>
          </rPr>
          <t xml:space="preserve">Hier die Pause eingeben. 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S5" authorId="1" shapeId="0" xr:uid="{00000000-0006-0000-0200-000006000000}">
      <text>
        <r>
          <rPr>
            <b/>
            <sz val="10"/>
            <color indexed="81"/>
            <rFont val="Segoe UI"/>
            <family val="2"/>
          </rPr>
          <t>Hier Stundenlohn eingeben.</t>
        </r>
      </text>
    </comment>
    <comment ref="U9" authorId="0" shapeId="0" xr:uid="{00000000-0006-0000-0200-000007000000}">
      <text>
        <r>
          <rPr>
            <b/>
            <sz val="9"/>
            <color indexed="81"/>
            <rFont val="Segoe UI"/>
            <family val="2"/>
          </rPr>
          <t>Hier kann eine manuelle Korrektur eingeben werden.
Für eine negative Zeit bitte nach einem Minuszeichen die Uhrzeit in Anführungszeichen eingeben: 
z.B   -"10:00"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memic</author>
    <author>Sejla Memic</author>
  </authors>
  <commentList>
    <comment ref="J4" authorId="0" shapeId="0" xr:uid="{00000000-0006-0000-0300-000001000000}">
      <text>
        <r>
          <rPr>
            <b/>
            <sz val="11"/>
            <color indexed="81"/>
            <rFont val="Segoe UI"/>
            <family val="2"/>
          </rPr>
          <t>Istzeit inkl. Abwesenheit</t>
        </r>
      </text>
    </comment>
    <comment ref="K4" authorId="1" shapeId="0" xr:uid="{00000000-0006-0000-0300-000002000000}">
      <text>
        <r>
          <rPr>
            <b/>
            <sz val="10"/>
            <color indexed="81"/>
            <rFont val="Segoe UI"/>
            <family val="2"/>
          </rPr>
          <t>Wir automatisch aus Wochenplan übernommen. Bitte Änderungen nur im Wochenplan vornehmen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4" authorId="0" shapeId="0" xr:uid="{00000000-0006-0000-0300-000003000000}">
      <text>
        <r>
          <rPr>
            <b/>
            <sz val="11"/>
            <color indexed="81"/>
            <rFont val="Segoe UI"/>
            <family val="2"/>
          </rPr>
          <t>Wird Automatisch gefüllt!
Abwesenheiten bitte im Urlaubskalender eintragen!</t>
        </r>
      </text>
    </comment>
    <comment ref="Q5" authorId="1" shapeId="0" xr:uid="{00000000-0006-0000-0300-000004000000}">
      <text>
        <r>
          <rPr>
            <b/>
            <sz val="10"/>
            <color indexed="81"/>
            <rFont val="Segoe UI"/>
            <family val="2"/>
          </rPr>
          <t>Hier die Sollzeit eingeben</t>
        </r>
      </text>
    </comment>
    <comment ref="R5" authorId="1" shapeId="0" xr:uid="{00000000-0006-0000-0300-000005000000}">
      <text>
        <r>
          <rPr>
            <b/>
            <sz val="10"/>
            <color indexed="81"/>
            <rFont val="Segoe UI"/>
            <family val="2"/>
          </rPr>
          <t xml:space="preserve">Hier die Pause eingeben. 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S5" authorId="1" shapeId="0" xr:uid="{00000000-0006-0000-0300-000006000000}">
      <text>
        <r>
          <rPr>
            <b/>
            <sz val="10"/>
            <color indexed="81"/>
            <rFont val="Segoe UI"/>
            <family val="2"/>
          </rPr>
          <t>Hier Stundenlohn eingeben.</t>
        </r>
      </text>
    </comment>
    <comment ref="U9" authorId="0" shapeId="0" xr:uid="{00000000-0006-0000-0300-000007000000}">
      <text>
        <r>
          <rPr>
            <b/>
            <sz val="9"/>
            <color indexed="81"/>
            <rFont val="Segoe UI"/>
            <family val="2"/>
          </rPr>
          <t>Hier kann eine manuelle Korrektur eingeben werden.
Für eine negative Zeit bitte nach einem Minuszeichen die Uhrzeit in Anführungszeichen eingeben: 
z.B   -"10:00"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memic</author>
    <author>Sejla Memic</author>
  </authors>
  <commentList>
    <comment ref="J4" authorId="0" shapeId="0" xr:uid="{00000000-0006-0000-0400-000001000000}">
      <text>
        <r>
          <rPr>
            <b/>
            <sz val="11"/>
            <color indexed="81"/>
            <rFont val="Segoe UI"/>
            <family val="2"/>
          </rPr>
          <t>Istzeit inkl. Abwesenheit</t>
        </r>
      </text>
    </comment>
    <comment ref="K4" authorId="1" shapeId="0" xr:uid="{00000000-0006-0000-0400-000002000000}">
      <text>
        <r>
          <rPr>
            <b/>
            <sz val="10"/>
            <color indexed="81"/>
            <rFont val="Segoe UI"/>
            <family val="2"/>
          </rPr>
          <t>Wir automatisch aus Wochenplan übernommen. Bitte Änderungen nur im Wochenplan vornehmen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4" authorId="0" shapeId="0" xr:uid="{00000000-0006-0000-0400-000003000000}">
      <text>
        <r>
          <rPr>
            <b/>
            <sz val="11"/>
            <color indexed="81"/>
            <rFont val="Segoe UI"/>
            <family val="2"/>
          </rPr>
          <t>Wird Automatisch gefüllt!
Abwesenheiten bitte im Urlaubskalender eintragen!</t>
        </r>
      </text>
    </comment>
    <comment ref="Q5" authorId="1" shapeId="0" xr:uid="{00000000-0006-0000-0400-000004000000}">
      <text>
        <r>
          <rPr>
            <b/>
            <sz val="10"/>
            <color indexed="81"/>
            <rFont val="Segoe UI"/>
            <family val="2"/>
          </rPr>
          <t>Hier die Sollzeit eingeben</t>
        </r>
      </text>
    </comment>
    <comment ref="R5" authorId="1" shapeId="0" xr:uid="{00000000-0006-0000-0400-000005000000}">
      <text>
        <r>
          <rPr>
            <b/>
            <sz val="10"/>
            <color indexed="81"/>
            <rFont val="Segoe UI"/>
            <family val="2"/>
          </rPr>
          <t xml:space="preserve">Hier die Pause eingeben. 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S5" authorId="1" shapeId="0" xr:uid="{00000000-0006-0000-0400-000006000000}">
      <text>
        <r>
          <rPr>
            <b/>
            <sz val="10"/>
            <color indexed="81"/>
            <rFont val="Segoe UI"/>
            <family val="2"/>
          </rPr>
          <t>Hier Stundenlohn eingeben.</t>
        </r>
      </text>
    </comment>
    <comment ref="U9" authorId="0" shapeId="0" xr:uid="{00000000-0006-0000-0400-000007000000}">
      <text>
        <r>
          <rPr>
            <b/>
            <sz val="9"/>
            <color indexed="81"/>
            <rFont val="Segoe UI"/>
            <family val="2"/>
          </rPr>
          <t>Hier kann eine manuelle Korrektur eingeben werden.
Für eine negative Zeit bitte nach einem Minuszeichen die Uhrzeit in Anführungszeichen eingeben: 
z.B   -"10:00"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memic</author>
    <author>Sejla Memic</author>
  </authors>
  <commentList>
    <comment ref="J4" authorId="0" shapeId="0" xr:uid="{00000000-0006-0000-0500-000001000000}">
      <text>
        <r>
          <rPr>
            <b/>
            <sz val="11"/>
            <color indexed="81"/>
            <rFont val="Segoe UI"/>
            <family val="2"/>
          </rPr>
          <t>Istzeit inkl. Abwesenheit</t>
        </r>
      </text>
    </comment>
    <comment ref="K4" authorId="1" shapeId="0" xr:uid="{00000000-0006-0000-0500-000002000000}">
      <text>
        <r>
          <rPr>
            <b/>
            <sz val="10"/>
            <color indexed="81"/>
            <rFont val="Segoe UI"/>
            <family val="2"/>
          </rPr>
          <t>Wir automatisch aus Wochenplan übernommen. Bitte Änderungen nur im Wochenplan vornehmen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4" authorId="0" shapeId="0" xr:uid="{00000000-0006-0000-0500-000003000000}">
      <text>
        <r>
          <rPr>
            <b/>
            <sz val="11"/>
            <color indexed="81"/>
            <rFont val="Segoe UI"/>
            <family val="2"/>
          </rPr>
          <t>Wird Automatisch gefüllt!
Abwesenheiten bitte im Urlaubskalender eintragen!</t>
        </r>
      </text>
    </comment>
    <comment ref="Q5" authorId="1" shapeId="0" xr:uid="{00000000-0006-0000-0500-000004000000}">
      <text>
        <r>
          <rPr>
            <b/>
            <sz val="10"/>
            <color indexed="81"/>
            <rFont val="Segoe UI"/>
            <family val="2"/>
          </rPr>
          <t>Hier die Sollzeit eingeben</t>
        </r>
      </text>
    </comment>
    <comment ref="R5" authorId="1" shapeId="0" xr:uid="{00000000-0006-0000-0500-000005000000}">
      <text>
        <r>
          <rPr>
            <b/>
            <sz val="10"/>
            <color indexed="81"/>
            <rFont val="Segoe UI"/>
            <family val="2"/>
          </rPr>
          <t xml:space="preserve">Hier die Pause eingeben. 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S5" authorId="1" shapeId="0" xr:uid="{00000000-0006-0000-0500-000006000000}">
      <text>
        <r>
          <rPr>
            <b/>
            <sz val="10"/>
            <color indexed="81"/>
            <rFont val="Segoe UI"/>
            <family val="2"/>
          </rPr>
          <t>Hier Stundenlohn eingeben.</t>
        </r>
      </text>
    </comment>
    <comment ref="U9" authorId="0" shapeId="0" xr:uid="{00000000-0006-0000-0500-000007000000}">
      <text>
        <r>
          <rPr>
            <b/>
            <sz val="9"/>
            <color indexed="81"/>
            <rFont val="Segoe UI"/>
            <family val="2"/>
          </rPr>
          <t>Hier kann eine manuelle Korrektur eingeben werden.
Für eine negative Zeit bitte nach einem Minuszeichen die Uhrzeit in Anführungszeichen eingeben: 
z.B   -"10:00"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memic</author>
    <author>Sejla Memic</author>
  </authors>
  <commentList>
    <comment ref="J4" authorId="0" shapeId="0" xr:uid="{00000000-0006-0000-0600-000001000000}">
      <text>
        <r>
          <rPr>
            <b/>
            <sz val="11"/>
            <color indexed="81"/>
            <rFont val="Segoe UI"/>
            <family val="2"/>
          </rPr>
          <t>Istzeit inkl. Abwesenheit</t>
        </r>
      </text>
    </comment>
    <comment ref="K4" authorId="1" shapeId="0" xr:uid="{00000000-0006-0000-0600-000002000000}">
      <text>
        <r>
          <rPr>
            <b/>
            <sz val="10"/>
            <color indexed="81"/>
            <rFont val="Segoe UI"/>
            <family val="2"/>
          </rPr>
          <t>Wir automatisch aus Wochenplan übernommen. Bitte Änderungen nur im Wochenplan vornehmen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4" authorId="0" shapeId="0" xr:uid="{00000000-0006-0000-0600-000003000000}">
      <text>
        <r>
          <rPr>
            <b/>
            <sz val="11"/>
            <color indexed="81"/>
            <rFont val="Segoe UI"/>
            <family val="2"/>
          </rPr>
          <t>Wird Automatisch gefüllt!
Abwesenheiten bitte im Urlaubskalender eintragen!</t>
        </r>
      </text>
    </comment>
    <comment ref="Q5" authorId="1" shapeId="0" xr:uid="{00000000-0006-0000-0600-000004000000}">
      <text>
        <r>
          <rPr>
            <b/>
            <sz val="10"/>
            <color indexed="81"/>
            <rFont val="Segoe UI"/>
            <family val="2"/>
          </rPr>
          <t>Hier die Sollzeit eingeben</t>
        </r>
      </text>
    </comment>
    <comment ref="R5" authorId="1" shapeId="0" xr:uid="{00000000-0006-0000-0600-000005000000}">
      <text>
        <r>
          <rPr>
            <b/>
            <sz val="10"/>
            <color indexed="81"/>
            <rFont val="Segoe UI"/>
            <family val="2"/>
          </rPr>
          <t xml:space="preserve">Hier die Pause eingeben. 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S5" authorId="1" shapeId="0" xr:uid="{00000000-0006-0000-0600-000006000000}">
      <text>
        <r>
          <rPr>
            <b/>
            <sz val="10"/>
            <color indexed="81"/>
            <rFont val="Segoe UI"/>
            <family val="2"/>
          </rPr>
          <t>Hier Stundenlohn eingeben.</t>
        </r>
      </text>
    </comment>
    <comment ref="U9" authorId="0" shapeId="0" xr:uid="{00000000-0006-0000-0600-000007000000}">
      <text>
        <r>
          <rPr>
            <b/>
            <sz val="9"/>
            <color indexed="81"/>
            <rFont val="Segoe UI"/>
            <family val="2"/>
          </rPr>
          <t>Hier kann eine manuelle Korrektur eingeben werden.
Für eine negative Zeit bitte nach einem Minuszeichen die Uhrzeit in Anführungszeichen eingeben: 
z.B   -"10:00"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memic</author>
    <author>Sejla Memic</author>
  </authors>
  <commentList>
    <comment ref="J4" authorId="0" shapeId="0" xr:uid="{00000000-0006-0000-0700-000001000000}">
      <text>
        <r>
          <rPr>
            <b/>
            <sz val="11"/>
            <color indexed="81"/>
            <rFont val="Segoe UI"/>
            <family val="2"/>
          </rPr>
          <t>Istzeit inkl. Abwesenheit</t>
        </r>
      </text>
    </comment>
    <comment ref="K4" authorId="1" shapeId="0" xr:uid="{00000000-0006-0000-0700-000002000000}">
      <text>
        <r>
          <rPr>
            <b/>
            <sz val="10"/>
            <color indexed="81"/>
            <rFont val="Segoe UI"/>
            <family val="2"/>
          </rPr>
          <t>Wir automatisch aus Wochenplan übernommen. Bitte Änderungen nur im Wochenplan vornehmen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4" authorId="0" shapeId="0" xr:uid="{00000000-0006-0000-0700-000003000000}">
      <text>
        <r>
          <rPr>
            <b/>
            <sz val="11"/>
            <color indexed="81"/>
            <rFont val="Segoe UI"/>
            <family val="2"/>
          </rPr>
          <t>Wird Automatisch gefüllt!
Abwesenheiten bitte im Urlaubskalender eintragen!</t>
        </r>
      </text>
    </comment>
    <comment ref="Q5" authorId="1" shapeId="0" xr:uid="{00000000-0006-0000-0700-000004000000}">
      <text>
        <r>
          <rPr>
            <b/>
            <sz val="10"/>
            <color indexed="81"/>
            <rFont val="Segoe UI"/>
            <family val="2"/>
          </rPr>
          <t>Hier die Sollzeit eingeben</t>
        </r>
      </text>
    </comment>
    <comment ref="R5" authorId="1" shapeId="0" xr:uid="{00000000-0006-0000-0700-000005000000}">
      <text>
        <r>
          <rPr>
            <b/>
            <sz val="10"/>
            <color indexed="81"/>
            <rFont val="Segoe UI"/>
            <family val="2"/>
          </rPr>
          <t xml:space="preserve">Hier die Pause eingeben. 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S5" authorId="1" shapeId="0" xr:uid="{00000000-0006-0000-0700-000006000000}">
      <text>
        <r>
          <rPr>
            <b/>
            <sz val="10"/>
            <color indexed="81"/>
            <rFont val="Segoe UI"/>
            <family val="2"/>
          </rPr>
          <t>Hier Stundenlohn eingeben.</t>
        </r>
      </text>
    </comment>
    <comment ref="U9" authorId="0" shapeId="0" xr:uid="{00000000-0006-0000-0700-000007000000}">
      <text>
        <r>
          <rPr>
            <b/>
            <sz val="9"/>
            <color indexed="81"/>
            <rFont val="Segoe UI"/>
            <family val="2"/>
          </rPr>
          <t>Hier kann eine manuelle Korrektur eingeben werden.
Für eine negative Zeit bitte nach einem Minuszeichen die Uhrzeit in Anführungszeichen eingeben: 
z.B   -"10:00"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memic</author>
    <author>Sejla Memic</author>
  </authors>
  <commentList>
    <comment ref="J4" authorId="0" shapeId="0" xr:uid="{00000000-0006-0000-0800-000001000000}">
      <text>
        <r>
          <rPr>
            <b/>
            <sz val="11"/>
            <color indexed="81"/>
            <rFont val="Segoe UI"/>
            <family val="2"/>
          </rPr>
          <t>Istzeit inkl. Abwesenheit</t>
        </r>
      </text>
    </comment>
    <comment ref="K4" authorId="1" shapeId="0" xr:uid="{00000000-0006-0000-0800-000002000000}">
      <text>
        <r>
          <rPr>
            <b/>
            <sz val="10"/>
            <color indexed="81"/>
            <rFont val="Segoe UI"/>
            <family val="2"/>
          </rPr>
          <t>Wir automatisch aus Wochenplan übernommen. Bitte Änderungen nur im Wochenplan vornehmen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4" authorId="0" shapeId="0" xr:uid="{00000000-0006-0000-0800-000003000000}">
      <text>
        <r>
          <rPr>
            <b/>
            <sz val="11"/>
            <color indexed="81"/>
            <rFont val="Segoe UI"/>
            <family val="2"/>
          </rPr>
          <t>Wird Automatisch gefüllt!
Abwesenheiten bitte im Urlaubskalender eintragen!</t>
        </r>
      </text>
    </comment>
    <comment ref="Q5" authorId="1" shapeId="0" xr:uid="{00000000-0006-0000-0800-000004000000}">
      <text>
        <r>
          <rPr>
            <b/>
            <sz val="10"/>
            <color indexed="81"/>
            <rFont val="Segoe UI"/>
            <family val="2"/>
          </rPr>
          <t>Hier die Sollzeit eingeben</t>
        </r>
      </text>
    </comment>
    <comment ref="R5" authorId="1" shapeId="0" xr:uid="{00000000-0006-0000-0800-000005000000}">
      <text>
        <r>
          <rPr>
            <b/>
            <sz val="10"/>
            <color indexed="81"/>
            <rFont val="Segoe UI"/>
            <family val="2"/>
          </rPr>
          <t xml:space="preserve">Hier die Pause eingeben. 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S5" authorId="1" shapeId="0" xr:uid="{00000000-0006-0000-0800-000006000000}">
      <text>
        <r>
          <rPr>
            <b/>
            <sz val="10"/>
            <color indexed="81"/>
            <rFont val="Segoe UI"/>
            <family val="2"/>
          </rPr>
          <t>Hier Stundenlohn eingeben.</t>
        </r>
      </text>
    </comment>
    <comment ref="U9" authorId="0" shapeId="0" xr:uid="{00000000-0006-0000-0800-000007000000}">
      <text>
        <r>
          <rPr>
            <b/>
            <sz val="9"/>
            <color indexed="81"/>
            <rFont val="Segoe UI"/>
            <family val="2"/>
          </rPr>
          <t>Hier kann eine manuelle Korrektur eingeben werden.
Für eine negative Zeit bitte nach einem Minuszeichen die Uhrzeit in Anführungszeichen eingeben: 
z.B   -"10:00"</t>
        </r>
      </text>
    </comment>
  </commentList>
</comments>
</file>

<file path=xl/sharedStrings.xml><?xml version="1.0" encoding="utf-8"?>
<sst xmlns="http://schemas.openxmlformats.org/spreadsheetml/2006/main" count="480" uniqueCount="90">
  <si>
    <t>Arbeitszeit</t>
  </si>
  <si>
    <t>von</t>
  </si>
  <si>
    <t>bis</t>
  </si>
  <si>
    <t>Pause</t>
  </si>
  <si>
    <t>Datum</t>
  </si>
  <si>
    <t>Tag</t>
  </si>
  <si>
    <t>Sollzeit</t>
  </si>
  <si>
    <t>Istzeit</t>
  </si>
  <si>
    <t>Wochentag</t>
  </si>
  <si>
    <t>Wochensoll</t>
  </si>
  <si>
    <t>Wochenplan</t>
  </si>
  <si>
    <t>Differenz</t>
  </si>
  <si>
    <t>Feiertag?</t>
  </si>
  <si>
    <t>x</t>
  </si>
  <si>
    <t>Neujahr</t>
  </si>
  <si>
    <t>Berchtoldstag</t>
  </si>
  <si>
    <t>3 Könige</t>
  </si>
  <si>
    <t>Rosenmontag</t>
  </si>
  <si>
    <t>Karfreitag</t>
  </si>
  <si>
    <t>Ostersamstag</t>
  </si>
  <si>
    <t>Ostersonntag</t>
  </si>
  <si>
    <t>Ostermontag</t>
  </si>
  <si>
    <t>1. Mai</t>
  </si>
  <si>
    <t>Christi Himmelfahrt</t>
  </si>
  <si>
    <t>Muttertag</t>
  </si>
  <si>
    <t>Pfingstsamstag</t>
  </si>
  <si>
    <t>Pfingstsonntag</t>
  </si>
  <si>
    <t>Pfingstmontag</t>
  </si>
  <si>
    <t>Fronleichnam</t>
  </si>
  <si>
    <t>Nationalfeiertag (CH)</t>
  </si>
  <si>
    <t>Tag der deutschen Einheit (D)</t>
  </si>
  <si>
    <t>Erntedankfest</t>
  </si>
  <si>
    <t>Nationalfeiertag (AT)</t>
  </si>
  <si>
    <t>Reformationstag</t>
  </si>
  <si>
    <t>Allerheiligen</t>
  </si>
  <si>
    <t>Volkstrauertag</t>
  </si>
  <si>
    <t>Buss- und Bettag</t>
  </si>
  <si>
    <t>Totensonntag/Ewigkeitssontag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</si>
  <si>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</si>
  <si>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</si>
  <si>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</si>
  <si>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</si>
  <si>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</si>
  <si>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</si>
  <si>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</si>
  <si>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</si>
  <si>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Feiertag</t>
  </si>
  <si>
    <t>Urlaub</t>
  </si>
  <si>
    <t>nein</t>
  </si>
  <si>
    <t>Monat / Tag</t>
  </si>
  <si>
    <t>u</t>
  </si>
  <si>
    <t>U</t>
  </si>
  <si>
    <t>K</t>
  </si>
  <si>
    <t>D</t>
  </si>
  <si>
    <t>d</t>
  </si>
  <si>
    <t>Jahresanspruch</t>
  </si>
  <si>
    <t>Abwesenheit</t>
  </si>
  <si>
    <t>Ganztägig</t>
  </si>
  <si>
    <t>Halbtägig</t>
  </si>
  <si>
    <t>Rest Vorjahr</t>
  </si>
  <si>
    <t>Gesamtanspruch</t>
  </si>
  <si>
    <t>Dienstreise</t>
  </si>
  <si>
    <t>Genommen</t>
  </si>
  <si>
    <t>k</t>
  </si>
  <si>
    <t>Aktueller Resturlaub:</t>
  </si>
  <si>
    <t>Tage</t>
  </si>
  <si>
    <t>Abws</t>
  </si>
  <si>
    <t>Abws Dauer</t>
  </si>
  <si>
    <t>Krank</t>
  </si>
  <si>
    <t>Sollzeit 0 am Feiertag?</t>
  </si>
  <si>
    <t>Stundenlohn</t>
  </si>
  <si>
    <t>Lohn</t>
  </si>
  <si>
    <t>Ist Dez</t>
  </si>
  <si>
    <t>Summe (Tage)</t>
  </si>
  <si>
    <t>Gesamt</t>
  </si>
  <si>
    <t>Sonstiges</t>
  </si>
  <si>
    <t>S</t>
  </si>
  <si>
    <t>s</t>
  </si>
  <si>
    <t>Elternzeit</t>
  </si>
  <si>
    <t>E</t>
  </si>
  <si>
    <t>e</t>
  </si>
  <si>
    <t>Monatssaldo</t>
  </si>
  <si>
    <t>Monat</t>
  </si>
  <si>
    <t>Saldo</t>
  </si>
  <si>
    <t>Saldo Übertrag</t>
  </si>
  <si>
    <t>Korrektur</t>
  </si>
  <si>
    <t>Bemerkung</t>
  </si>
  <si>
    <t>Berufsschule</t>
  </si>
  <si>
    <t>B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</si>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</sst>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€&quot;_-;\-* #,##0.00\ &quot;€&quot;_-;_-* &quot;-&quot;??\ &quot;€&quot;_-;_-@_-"/>
    <numFmt numFmtId="164" formatCode="mmmm\ yyyy"/>
    <numFmt numFmtId="165" formatCode="d"/>
    <numFmt numFmtId="166" formatCode="ddd/"/>
    <numFmt numFmtId="167" formatCode="hh:mm;@"/>
    <numFmt numFmtId="168" formatCode="[hh]:mm"/>
    <numFmt numFmtId="169" formatCode="dddd"/>
    <numFmt numFmtId="170" formatCode="[hh]:mm;@"/>
    <numFmt numFmtId="171" formatCode="dd/mm/yyyy;;"/>
    <numFmt numFmtId="172" formatCode="00"/>
    <numFmt numFmtId="173" formatCode="mmmm"/>
    <numFmt numFmtId="174" formatCode="d/m/yy;@"/>
    <numFmt numFmtId="175" formatCode="#,##0.00\ &quot;€&quot;"/>
  </numFmts>
  <fonts count="2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sz val="10"/>
      <color theme="1" tint="0.249977111117893"/>
      <name val="Arial Unicode MS"/>
      <family val="2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Arial"/>
      <family val="2"/>
    </font>
    <font>
      <b/>
      <sz val="9"/>
      <color indexed="81"/>
      <name val="Tahoma"/>
      <family val="2"/>
    </font>
    <font>
      <b/>
      <sz val="2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indexed="81"/>
      <name val="Segoe UI"/>
      <family val="2"/>
    </font>
    <font>
      <b/>
      <sz val="11"/>
      <color indexed="81"/>
      <name val="Segoe UI"/>
      <family val="2"/>
    </font>
    <font>
      <sz val="9"/>
      <color indexed="81"/>
      <name val="Segoe UI"/>
      <charset val="1"/>
    </font>
    <font>
      <sz val="9"/>
      <color indexed="81"/>
      <name val="Segoe UI"/>
      <family val="2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C00000"/>
      <name val="Calibri"/>
      <family val="2"/>
      <scheme val="minor"/>
    </font>
    <font>
      <sz val="1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43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4C2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14" fontId="0" fillId="0" borderId="0" xfId="0" applyNumberFormat="1"/>
    <xf numFmtId="0" fontId="0" fillId="0" borderId="0" xfId="0" applyBorder="1"/>
    <xf numFmtId="166" fontId="0" fillId="0" borderId="0" xfId="0" applyNumberFormat="1" applyBorder="1"/>
    <xf numFmtId="168" fontId="1" fillId="0" borderId="0" xfId="0" applyNumberFormat="1" applyFont="1"/>
    <xf numFmtId="167" fontId="0" fillId="0" borderId="0" xfId="0" applyNumberFormat="1"/>
    <xf numFmtId="0" fontId="5" fillId="0" borderId="0" xfId="0" applyFont="1"/>
    <xf numFmtId="20" fontId="0" fillId="0" borderId="0" xfId="0" applyNumberFormat="1"/>
    <xf numFmtId="0" fontId="7" fillId="4" borderId="1" xfId="0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14" fontId="10" fillId="0" borderId="1" xfId="0" quotePrefix="1" applyNumberFormat="1" applyFont="1" applyBorder="1" applyProtection="1"/>
    <xf numFmtId="171" fontId="11" fillId="5" borderId="1" xfId="0" applyNumberFormat="1" applyFont="1" applyFill="1" applyBorder="1"/>
    <xf numFmtId="0" fontId="10" fillId="0" borderId="1" xfId="0" applyFont="1" applyBorder="1" applyAlignment="1" applyProtection="1">
      <alignment horizontal="center"/>
      <protection locked="0"/>
    </xf>
    <xf numFmtId="49" fontId="10" fillId="0" borderId="1" xfId="0" applyNumberFormat="1" applyFont="1" applyBorder="1" applyProtection="1">
      <protection locked="0"/>
    </xf>
    <xf numFmtId="14" fontId="11" fillId="0" borderId="1" xfId="0" quotePrefix="1" applyNumberFormat="1" applyFont="1" applyBorder="1" applyProtection="1"/>
    <xf numFmtId="14" fontId="10" fillId="0" borderId="1" xfId="0" applyNumberFormat="1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0" fillId="15" borderId="0" xfId="0" applyFill="1"/>
    <xf numFmtId="0" fontId="0" fillId="15" borderId="0" xfId="0" applyFill="1" applyAlignment="1">
      <alignment horizontal="center"/>
    </xf>
    <xf numFmtId="14" fontId="0" fillId="15" borderId="0" xfId="0" applyNumberFormat="1" applyFill="1" applyAlignment="1">
      <alignment horizontal="center"/>
    </xf>
    <xf numFmtId="0" fontId="0" fillId="15" borderId="24" xfId="0" applyFill="1" applyBorder="1"/>
    <xf numFmtId="0" fontId="16" fillId="15" borderId="0" xfId="0" applyFont="1" applyFill="1" applyAlignment="1"/>
    <xf numFmtId="0" fontId="13" fillId="15" borderId="0" xfId="0" applyFont="1" applyFill="1" applyAlignment="1">
      <alignment horizontal="center" vertical="center"/>
    </xf>
    <xf numFmtId="14" fontId="0" fillId="15" borderId="0" xfId="0" applyNumberFormat="1" applyFill="1"/>
    <xf numFmtId="14" fontId="17" fillId="15" borderId="0" xfId="0" applyNumberFormat="1" applyFont="1" applyFill="1"/>
    <xf numFmtId="0" fontId="17" fillId="15" borderId="0" xfId="0" applyFont="1" applyFill="1"/>
    <xf numFmtId="174" fontId="17" fillId="15" borderId="0" xfId="0" applyNumberFormat="1" applyFont="1" applyFill="1"/>
    <xf numFmtId="0" fontId="17" fillId="15" borderId="0" xfId="0" applyFont="1" applyFill="1" applyBorder="1"/>
    <xf numFmtId="0" fontId="17" fillId="15" borderId="0" xfId="0" applyNumberFormat="1" applyFont="1" applyFill="1" applyBorder="1"/>
    <xf numFmtId="14" fontId="18" fillId="15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20" fontId="0" fillId="0" borderId="0" xfId="0" applyNumberFormat="1" applyAlignment="1">
      <alignment horizontal="right"/>
    </xf>
    <xf numFmtId="2" fontId="0" fillId="0" borderId="0" xfId="0" applyNumberFormat="1"/>
    <xf numFmtId="0" fontId="5" fillId="6" borderId="1" xfId="0" applyFont="1" applyFill="1" applyBorder="1"/>
    <xf numFmtId="0" fontId="2" fillId="3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5" fontId="1" fillId="0" borderId="28" xfId="0" applyNumberFormat="1" applyFont="1" applyBorder="1"/>
    <xf numFmtId="166" fontId="1" fillId="0" borderId="28" xfId="0" applyNumberFormat="1" applyFont="1" applyBorder="1"/>
    <xf numFmtId="165" fontId="1" fillId="0" borderId="29" xfId="0" applyNumberFormat="1" applyFont="1" applyBorder="1"/>
    <xf numFmtId="166" fontId="1" fillId="0" borderId="29" xfId="0" applyNumberFormat="1" applyFont="1" applyBorder="1"/>
    <xf numFmtId="170" fontId="20" fillId="2" borderId="3" xfId="0" applyNumberFormat="1" applyFont="1" applyFill="1" applyBorder="1" applyAlignment="1">
      <alignment horizontal="center"/>
    </xf>
    <xf numFmtId="44" fontId="20" fillId="2" borderId="3" xfId="0" applyNumberFormat="1" applyFont="1" applyFill="1" applyBorder="1" applyAlignment="1">
      <alignment horizontal="center"/>
    </xf>
    <xf numFmtId="167" fontId="1" fillId="0" borderId="29" xfId="0" applyNumberFormat="1" applyFont="1" applyBorder="1" applyAlignment="1" applyProtection="1">
      <alignment horizontal="center"/>
    </xf>
    <xf numFmtId="0" fontId="1" fillId="0" borderId="29" xfId="0" applyNumberFormat="1" applyFont="1" applyBorder="1" applyAlignment="1">
      <alignment horizontal="center"/>
    </xf>
    <xf numFmtId="175" fontId="1" fillId="0" borderId="29" xfId="0" applyNumberFormat="1" applyFont="1" applyBorder="1"/>
    <xf numFmtId="167" fontId="1" fillId="0" borderId="28" xfId="0" applyNumberFormat="1" applyFont="1" applyBorder="1" applyAlignment="1" applyProtection="1">
      <alignment horizontal="center"/>
    </xf>
    <xf numFmtId="175" fontId="1" fillId="0" borderId="28" xfId="0" applyNumberFormat="1" applyFont="1" applyBorder="1"/>
    <xf numFmtId="169" fontId="1" fillId="0" borderId="30" xfId="0" applyNumberFormat="1" applyFont="1" applyBorder="1"/>
    <xf numFmtId="169" fontId="1" fillId="0" borderId="31" xfId="0" applyNumberFormat="1" applyFont="1" applyBorder="1"/>
    <xf numFmtId="0" fontId="19" fillId="16" borderId="3" xfId="0" applyFont="1" applyFill="1" applyBorder="1" applyAlignment="1">
      <alignment horizontal="center"/>
    </xf>
    <xf numFmtId="168" fontId="19" fillId="16" borderId="3" xfId="0" applyNumberFormat="1" applyFont="1" applyFill="1" applyBorder="1"/>
    <xf numFmtId="0" fontId="19" fillId="0" borderId="0" xfId="0" applyFont="1" applyFill="1" applyBorder="1" applyAlignment="1"/>
    <xf numFmtId="164" fontId="25" fillId="0" borderId="0" xfId="0" applyNumberFormat="1" applyFont="1" applyFill="1" applyBorder="1" applyAlignment="1">
      <alignment horizontal="center"/>
    </xf>
    <xf numFmtId="164" fontId="25" fillId="0" borderId="5" xfId="0" applyNumberFormat="1" applyFont="1" applyFill="1" applyBorder="1" applyAlignment="1">
      <alignment horizontal="center"/>
    </xf>
    <xf numFmtId="167" fontId="1" fillId="0" borderId="29" xfId="0" applyNumberFormat="1" applyFont="1" applyBorder="1" applyAlignment="1" applyProtection="1">
      <alignment horizontal="center"/>
      <protection locked="0"/>
    </xf>
    <xf numFmtId="167" fontId="1" fillId="0" borderId="28" xfId="0" applyNumberFormat="1" applyFont="1" applyBorder="1" applyAlignment="1" applyProtection="1">
      <alignment horizontal="center"/>
      <protection locked="0"/>
    </xf>
    <xf numFmtId="167" fontId="1" fillId="0" borderId="30" xfId="0" applyNumberFormat="1" applyFont="1" applyBorder="1" applyProtection="1">
      <protection locked="0"/>
    </xf>
    <xf numFmtId="175" fontId="1" fillId="0" borderId="30" xfId="0" applyNumberFormat="1" applyFont="1" applyBorder="1" applyProtection="1">
      <protection locked="0"/>
    </xf>
    <xf numFmtId="167" fontId="1" fillId="0" borderId="31" xfId="0" applyNumberFormat="1" applyFont="1" applyBorder="1" applyProtection="1">
      <protection locked="0"/>
    </xf>
    <xf numFmtId="175" fontId="1" fillId="0" borderId="31" xfId="0" applyNumberFormat="1" applyFont="1" applyBorder="1" applyProtection="1">
      <protection locked="0"/>
    </xf>
    <xf numFmtId="167" fontId="1" fillId="3" borderId="31" xfId="0" applyNumberFormat="1" applyFont="1" applyFill="1" applyBorder="1" applyProtection="1">
      <protection locked="0"/>
    </xf>
    <xf numFmtId="167" fontId="1" fillId="3" borderId="32" xfId="0" applyNumberFormat="1" applyFont="1" applyFill="1" applyBorder="1" applyProtection="1">
      <protection locked="0"/>
    </xf>
    <xf numFmtId="175" fontId="1" fillId="0" borderId="32" xfId="0" applyNumberFormat="1" applyFont="1" applyBorder="1" applyProtection="1">
      <protection locked="0"/>
    </xf>
    <xf numFmtId="165" fontId="1" fillId="0" borderId="33" xfId="0" applyNumberFormat="1" applyFont="1" applyBorder="1"/>
    <xf numFmtId="166" fontId="1" fillId="0" borderId="33" xfId="0" applyNumberFormat="1" applyFont="1" applyBorder="1"/>
    <xf numFmtId="166" fontId="0" fillId="0" borderId="34" xfId="0" applyNumberFormat="1" applyBorder="1"/>
    <xf numFmtId="167" fontId="1" fillId="0" borderId="33" xfId="0" applyNumberFormat="1" applyFont="1" applyBorder="1" applyAlignment="1" applyProtection="1">
      <alignment horizontal="center"/>
      <protection locked="0"/>
    </xf>
    <xf numFmtId="167" fontId="1" fillId="0" borderId="36" xfId="0" applyNumberFormat="1" applyFont="1" applyBorder="1" applyAlignment="1" applyProtection="1">
      <alignment horizontal="center"/>
      <protection locked="0"/>
    </xf>
    <xf numFmtId="0" fontId="0" fillId="0" borderId="35" xfId="0" applyBorder="1"/>
    <xf numFmtId="167" fontId="1" fillId="0" borderId="36" xfId="0" applyNumberFormat="1" applyFont="1" applyBorder="1" applyAlignment="1" applyProtection="1">
      <alignment horizontal="center"/>
    </xf>
    <xf numFmtId="175" fontId="1" fillId="0" borderId="33" xfId="0" applyNumberFormat="1" applyFont="1" applyBorder="1"/>
    <xf numFmtId="0" fontId="0" fillId="6" borderId="1" xfId="0" applyFill="1" applyBorder="1" applyAlignment="1" applyProtection="1">
      <alignment horizontal="center"/>
      <protection locked="0"/>
    </xf>
    <xf numFmtId="169" fontId="27" fillId="0" borderId="31" xfId="0" applyNumberFormat="1" applyFont="1" applyBorder="1"/>
    <xf numFmtId="169" fontId="27" fillId="0" borderId="32" xfId="0" applyNumberFormat="1" applyFont="1" applyBorder="1"/>
    <xf numFmtId="0" fontId="14" fillId="8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20" borderId="3" xfId="0" applyFont="1" applyFill="1" applyBorder="1" applyAlignment="1">
      <alignment horizontal="center" vertical="center"/>
    </xf>
    <xf numFmtId="0" fontId="14" fillId="16" borderId="3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72" fontId="14" fillId="7" borderId="9" xfId="0" applyNumberFormat="1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173" fontId="1" fillId="7" borderId="11" xfId="0" applyNumberFormat="1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173" fontId="1" fillId="7" borderId="16" xfId="0" applyNumberFormat="1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11" borderId="17" xfId="0" applyFill="1" applyBorder="1" applyAlignment="1" applyProtection="1">
      <alignment horizontal="center" vertical="center"/>
      <protection locked="0"/>
    </xf>
    <xf numFmtId="0" fontId="0" fillId="11" borderId="18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12" borderId="17" xfId="0" applyFill="1" applyBorder="1" applyAlignment="1" applyProtection="1">
      <alignment horizontal="center" vertical="center"/>
      <protection locked="0"/>
    </xf>
    <xf numFmtId="173" fontId="1" fillId="7" borderId="19" xfId="0" applyNumberFormat="1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15" borderId="0" xfId="0" applyFill="1" applyAlignment="1">
      <alignment vertical="center"/>
    </xf>
    <xf numFmtId="0" fontId="0" fillId="15" borderId="0" xfId="0" applyFill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7" fontId="1" fillId="0" borderId="32" xfId="0" applyNumberFormat="1" applyFont="1" applyBorder="1" applyProtection="1">
      <protection locked="0"/>
    </xf>
    <xf numFmtId="0" fontId="14" fillId="21" borderId="3" xfId="0" applyFont="1" applyFill="1" applyBorder="1" applyAlignment="1">
      <alignment horizontal="center" vertical="center"/>
    </xf>
    <xf numFmtId="14" fontId="2" fillId="2" borderId="37" xfId="0" applyNumberFormat="1" applyFont="1" applyFill="1" applyBorder="1" applyAlignment="1"/>
    <xf numFmtId="170" fontId="20" fillId="2" borderId="38" xfId="0" applyNumberFormat="1" applyFont="1" applyFill="1" applyBorder="1" applyAlignment="1">
      <alignment horizontal="center"/>
    </xf>
    <xf numFmtId="14" fontId="2" fillId="2" borderId="39" xfId="0" applyNumberFormat="1" applyFont="1" applyFill="1" applyBorder="1" applyAlignment="1"/>
    <xf numFmtId="0" fontId="2" fillId="2" borderId="39" xfId="0" applyNumberFormat="1" applyFont="1" applyFill="1" applyBorder="1" applyAlignment="1"/>
    <xf numFmtId="14" fontId="2" fillId="2" borderId="40" xfId="0" applyNumberFormat="1" applyFont="1" applyFill="1" applyBorder="1" applyAlignment="1"/>
    <xf numFmtId="14" fontId="28" fillId="0" borderId="0" xfId="0" applyNumberFormat="1" applyFont="1"/>
    <xf numFmtId="173" fontId="2" fillId="23" borderId="3" xfId="0" applyNumberFormat="1" applyFont="1" applyFill="1" applyBorder="1" applyAlignment="1">
      <alignment horizontal="right"/>
    </xf>
    <xf numFmtId="0" fontId="2" fillId="2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1" fillId="0" borderId="30" xfId="0" applyNumberFormat="1" applyFont="1" applyBorder="1" applyAlignment="1">
      <alignment horizontal="right"/>
    </xf>
    <xf numFmtId="168" fontId="1" fillId="0" borderId="30" xfId="0" applyNumberFormat="1" applyFont="1" applyBorder="1"/>
    <xf numFmtId="0" fontId="1" fillId="0" borderId="0" xfId="0" applyFont="1"/>
    <xf numFmtId="173" fontId="1" fillId="0" borderId="31" xfId="0" applyNumberFormat="1" applyFont="1" applyBorder="1" applyAlignment="1">
      <alignment horizontal="right"/>
    </xf>
    <xf numFmtId="173" fontId="1" fillId="24" borderId="31" xfId="0" applyNumberFormat="1" applyFont="1" applyFill="1" applyBorder="1" applyAlignment="1">
      <alignment horizontal="right"/>
    </xf>
    <xf numFmtId="168" fontId="1" fillId="24" borderId="30" xfId="0" applyNumberFormat="1" applyFont="1" applyFill="1" applyBorder="1"/>
    <xf numFmtId="173" fontId="1" fillId="24" borderId="32" xfId="0" applyNumberFormat="1" applyFont="1" applyFill="1" applyBorder="1" applyAlignment="1">
      <alignment horizontal="right"/>
    </xf>
    <xf numFmtId="168" fontId="1" fillId="24" borderId="23" xfId="0" applyNumberFormat="1" applyFont="1" applyFill="1" applyBorder="1"/>
    <xf numFmtId="168" fontId="1" fillId="24" borderId="32" xfId="0" applyNumberFormat="1" applyFont="1" applyFill="1" applyBorder="1"/>
    <xf numFmtId="170" fontId="20" fillId="2" borderId="38" xfId="0" quotePrefix="1" applyNumberFormat="1" applyFont="1" applyFill="1" applyBorder="1" applyAlignment="1" applyProtection="1">
      <alignment horizontal="center"/>
      <protection locked="0"/>
    </xf>
    <xf numFmtId="0" fontId="2" fillId="2" borderId="16" xfId="0" applyNumberFormat="1" applyFont="1" applyFill="1" applyBorder="1" applyAlignment="1"/>
    <xf numFmtId="170" fontId="20" fillId="2" borderId="41" xfId="0" applyNumberFormat="1" applyFont="1" applyFill="1" applyBorder="1" applyAlignment="1">
      <alignment horizontal="center"/>
    </xf>
    <xf numFmtId="170" fontId="20" fillId="2" borderId="42" xfId="0" applyNumberFormat="1" applyFont="1" applyFill="1" applyBorder="1" applyAlignment="1">
      <alignment horizontal="center"/>
    </xf>
    <xf numFmtId="170" fontId="2" fillId="2" borderId="38" xfId="0" applyNumberFormat="1" applyFont="1" applyFill="1" applyBorder="1" applyAlignment="1" applyProtection="1">
      <alignment horizontal="center"/>
      <protection locked="0"/>
    </xf>
    <xf numFmtId="0" fontId="1" fillId="0" borderId="30" xfId="0" applyNumberFormat="1" applyFont="1" applyBorder="1"/>
    <xf numFmtId="0" fontId="1" fillId="24" borderId="30" xfId="0" applyNumberFormat="1" applyFont="1" applyFill="1" applyBorder="1"/>
    <xf numFmtId="0" fontId="15" fillId="0" borderId="4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/>
    </xf>
    <xf numFmtId="164" fontId="25" fillId="16" borderId="4" xfId="0" applyNumberFormat="1" applyFont="1" applyFill="1" applyBorder="1" applyAlignment="1">
      <alignment horizontal="center"/>
    </xf>
    <xf numFmtId="164" fontId="25" fillId="16" borderId="5" xfId="0" applyNumberFormat="1" applyFont="1" applyFill="1" applyBorder="1" applyAlignment="1">
      <alignment horizontal="center"/>
    </xf>
    <xf numFmtId="164" fontId="25" fillId="16" borderId="6" xfId="0" applyNumberFormat="1" applyFont="1" applyFill="1" applyBorder="1" applyAlignment="1">
      <alignment horizontal="center"/>
    </xf>
    <xf numFmtId="0" fontId="26" fillId="17" borderId="4" xfId="0" applyFont="1" applyFill="1" applyBorder="1" applyAlignment="1">
      <alignment horizontal="center"/>
    </xf>
    <xf numFmtId="0" fontId="26" fillId="17" borderId="5" xfId="0" applyFont="1" applyFill="1" applyBorder="1" applyAlignment="1">
      <alignment horizontal="center"/>
    </xf>
    <xf numFmtId="0" fontId="26" fillId="17" borderId="6" xfId="0" applyFont="1" applyFill="1" applyBorder="1" applyAlignment="1">
      <alignment horizontal="center"/>
    </xf>
    <xf numFmtId="14" fontId="19" fillId="16" borderId="4" xfId="0" applyNumberFormat="1" applyFont="1" applyFill="1" applyBorder="1" applyAlignment="1" applyProtection="1">
      <alignment horizontal="center"/>
      <protection locked="0"/>
    </xf>
    <xf numFmtId="14" fontId="19" fillId="16" borderId="6" xfId="0" applyNumberFormat="1" applyFont="1" applyFill="1" applyBorder="1" applyAlignment="1" applyProtection="1">
      <alignment horizontal="center"/>
      <protection locked="0"/>
    </xf>
    <xf numFmtId="0" fontId="19" fillId="16" borderId="4" xfId="0" applyFont="1" applyFill="1" applyBorder="1" applyAlignment="1">
      <alignment horizontal="center"/>
    </xf>
    <xf numFmtId="0" fontId="19" fillId="16" borderId="5" xfId="0" applyFont="1" applyFill="1" applyBorder="1" applyAlignment="1">
      <alignment horizontal="center"/>
    </xf>
    <xf numFmtId="0" fontId="19" fillId="16" borderId="6" xfId="0" applyFont="1" applyFill="1" applyBorder="1" applyAlignment="1">
      <alignment horizontal="center"/>
    </xf>
    <xf numFmtId="14" fontId="19" fillId="16" borderId="44" xfId="0" applyNumberFormat="1" applyFont="1" applyFill="1" applyBorder="1" applyAlignment="1" applyProtection="1">
      <alignment horizontal="center"/>
      <protection locked="0"/>
    </xf>
    <xf numFmtId="14" fontId="19" fillId="16" borderId="0" xfId="0" applyNumberFormat="1" applyFont="1" applyFill="1" applyBorder="1" applyAlignment="1" applyProtection="1">
      <alignment horizont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15" borderId="0" xfId="0" applyFill="1" applyAlignment="1" applyProtection="1">
      <alignment horizontal="center"/>
    </xf>
    <xf numFmtId="0" fontId="0" fillId="16" borderId="0" xfId="0" applyFill="1" applyAlignment="1" applyProtection="1">
      <alignment horizontal="center" vertical="center"/>
    </xf>
    <xf numFmtId="0" fontId="0" fillId="18" borderId="0" xfId="0" applyFill="1" applyAlignment="1" applyProtection="1">
      <alignment horizontal="center" vertical="center"/>
    </xf>
    <xf numFmtId="0" fontId="0" fillId="20" borderId="0" xfId="0" applyFill="1" applyAlignment="1" applyProtection="1">
      <alignment horizontal="center" vertical="center"/>
    </xf>
    <xf numFmtId="0" fontId="0" fillId="19" borderId="0" xfId="0" applyFill="1" applyAlignment="1" applyProtection="1">
      <alignment horizontal="center" vertical="center"/>
    </xf>
    <xf numFmtId="0" fontId="0" fillId="21" borderId="0" xfId="0" applyFill="1" applyAlignment="1" applyProtection="1">
      <alignment horizontal="center" vertical="center"/>
    </xf>
    <xf numFmtId="0" fontId="17" fillId="22" borderId="0" xfId="0" applyFont="1" applyFill="1" applyAlignment="1" applyProtection="1">
      <alignment horizontal="center" vertical="center"/>
    </xf>
    <xf numFmtId="0" fontId="5" fillId="15" borderId="0" xfId="0" applyFont="1" applyFill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4" fillId="15" borderId="0" xfId="0" applyFont="1" applyFill="1" applyAlignment="1">
      <alignment horizontal="right"/>
    </xf>
    <xf numFmtId="0" fontId="14" fillId="15" borderId="0" xfId="0" applyFont="1" applyFill="1" applyAlignment="1" applyProtection="1">
      <alignment horizontal="right"/>
      <protection locked="0"/>
    </xf>
    <xf numFmtId="0" fontId="14" fillId="15" borderId="0" xfId="0" applyFont="1" applyFill="1" applyBorder="1" applyAlignment="1">
      <alignment horizontal="right"/>
    </xf>
    <xf numFmtId="0" fontId="0" fillId="9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10" borderId="0" xfId="0" applyFill="1" applyAlignment="1" applyProtection="1">
      <alignment horizontal="center" vertical="center"/>
    </xf>
    <xf numFmtId="0" fontId="0" fillId="8" borderId="0" xfId="0" applyFill="1" applyAlignment="1" applyProtection="1">
      <alignment horizontal="center" vertical="center"/>
    </xf>
    <xf numFmtId="0" fontId="0" fillId="13" borderId="0" xfId="0" applyFill="1" applyAlignment="1" applyProtection="1">
      <alignment horizontal="center" vertical="center"/>
    </xf>
    <xf numFmtId="0" fontId="0" fillId="14" borderId="0" xfId="0" applyFill="1" applyAlignment="1" applyProtection="1">
      <alignment horizontal="center" vertical="center"/>
    </xf>
    <xf numFmtId="0" fontId="16" fillId="7" borderId="0" xfId="0" applyFont="1" applyFill="1" applyBorder="1" applyAlignment="1">
      <alignment horizontal="right"/>
    </xf>
    <xf numFmtId="2" fontId="16" fillId="7" borderId="0" xfId="0" applyNumberFormat="1" applyFont="1" applyFill="1" applyAlignment="1">
      <alignment horizontal="right"/>
    </xf>
    <xf numFmtId="0" fontId="16" fillId="7" borderId="25" xfId="0" applyFont="1" applyFill="1" applyBorder="1" applyAlignment="1">
      <alignment horizontal="left"/>
    </xf>
    <xf numFmtId="0" fontId="14" fillId="15" borderId="24" xfId="0" applyFont="1" applyFill="1" applyBorder="1" applyAlignment="1">
      <alignment horizontal="right"/>
    </xf>
  </cellXfs>
  <cellStyles count="1">
    <cellStyle name="Standard" xfId="0" builtinId="0"/>
  </cellStyles>
  <dxfs count="40">
    <dxf>
      <fill>
        <patternFill>
          <bgColor indexed="4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CFE4C2"/>
        </patternFill>
      </fill>
    </dxf>
    <dxf>
      <fill>
        <patternFill>
          <bgColor theme="9" tint="0.39994506668294322"/>
        </patternFill>
      </fill>
    </dxf>
    <dxf>
      <fill>
        <patternFill>
          <bgColor rgb="FFFF4343"/>
        </patternFill>
      </fill>
    </dxf>
    <dxf>
      <fill>
        <patternFill>
          <bgColor rgb="FFFF9F9F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FCCFF"/>
      <color rgb="FFFF99FF"/>
      <color rgb="FFD278C8"/>
      <color rgb="FFEAC0E5"/>
      <color rgb="FFE1A3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office-lernen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733424</xdr:colOff>
      <xdr:row>1</xdr:row>
      <xdr:rowOff>161925</xdr:rowOff>
    </xdr:from>
    <xdr:to>
      <xdr:col>13</xdr:col>
      <xdr:colOff>960889</xdr:colOff>
      <xdr:row>2</xdr:row>
      <xdr:rowOff>121933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0C2657A-A986-4EB9-A204-FD56783E5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49" y="476250"/>
          <a:ext cx="1608590" cy="2743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733424</xdr:colOff>
      <xdr:row>1</xdr:row>
      <xdr:rowOff>161925</xdr:rowOff>
    </xdr:from>
    <xdr:to>
      <xdr:col>13</xdr:col>
      <xdr:colOff>960889</xdr:colOff>
      <xdr:row>2</xdr:row>
      <xdr:rowOff>121933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8CC45D-F4B6-416C-B6C4-70E874DFA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4" y="476250"/>
          <a:ext cx="1608590" cy="2743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733424</xdr:colOff>
      <xdr:row>1</xdr:row>
      <xdr:rowOff>161925</xdr:rowOff>
    </xdr:from>
    <xdr:to>
      <xdr:col>13</xdr:col>
      <xdr:colOff>960889</xdr:colOff>
      <xdr:row>2</xdr:row>
      <xdr:rowOff>121933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F527D5A-6978-40F1-8511-B12B3A2DD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4" y="476250"/>
          <a:ext cx="1608590" cy="27433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733424</xdr:colOff>
      <xdr:row>1</xdr:row>
      <xdr:rowOff>161925</xdr:rowOff>
    </xdr:from>
    <xdr:to>
      <xdr:col>13</xdr:col>
      <xdr:colOff>960889</xdr:colOff>
      <xdr:row>2</xdr:row>
      <xdr:rowOff>121933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D5725E5-3537-41AC-AA4A-541A6A31B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4" y="476250"/>
          <a:ext cx="1608590" cy="2743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142875</xdr:colOff>
      <xdr:row>1</xdr:row>
      <xdr:rowOff>71238</xdr:rowOff>
    </xdr:from>
    <xdr:to>
      <xdr:col>38</xdr:col>
      <xdr:colOff>266697</xdr:colOff>
      <xdr:row>1</xdr:row>
      <xdr:rowOff>342331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96C5CC-5BAC-44F4-A958-07E7431F2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1350" y="137913"/>
          <a:ext cx="1657347" cy="271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733424</xdr:colOff>
      <xdr:row>1</xdr:row>
      <xdr:rowOff>161925</xdr:rowOff>
    </xdr:from>
    <xdr:to>
      <xdr:col>13</xdr:col>
      <xdr:colOff>960889</xdr:colOff>
      <xdr:row>2</xdr:row>
      <xdr:rowOff>121933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34C2361-4677-48D9-A835-14F9285E3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4" y="476250"/>
          <a:ext cx="1608590" cy="274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733424</xdr:colOff>
      <xdr:row>1</xdr:row>
      <xdr:rowOff>161925</xdr:rowOff>
    </xdr:from>
    <xdr:to>
      <xdr:col>13</xdr:col>
      <xdr:colOff>960889</xdr:colOff>
      <xdr:row>2</xdr:row>
      <xdr:rowOff>121933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EA6B340-FC13-4D1A-AF12-9E8B5EF8B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4" y="476250"/>
          <a:ext cx="1608590" cy="274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733424</xdr:colOff>
      <xdr:row>1</xdr:row>
      <xdr:rowOff>161925</xdr:rowOff>
    </xdr:from>
    <xdr:to>
      <xdr:col>13</xdr:col>
      <xdr:colOff>960889</xdr:colOff>
      <xdr:row>2</xdr:row>
      <xdr:rowOff>121933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847DB1B-0547-4BBD-9AF5-608F56626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4" y="476250"/>
          <a:ext cx="1608590" cy="274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733424</xdr:colOff>
      <xdr:row>1</xdr:row>
      <xdr:rowOff>161925</xdr:rowOff>
    </xdr:from>
    <xdr:to>
      <xdr:col>13</xdr:col>
      <xdr:colOff>960889</xdr:colOff>
      <xdr:row>2</xdr:row>
      <xdr:rowOff>121933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3916DCF-09E6-49AA-817B-85FFACBFC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4" y="476250"/>
          <a:ext cx="1608590" cy="2743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733424</xdr:colOff>
      <xdr:row>1</xdr:row>
      <xdr:rowOff>161925</xdr:rowOff>
    </xdr:from>
    <xdr:to>
      <xdr:col>13</xdr:col>
      <xdr:colOff>960889</xdr:colOff>
      <xdr:row>2</xdr:row>
      <xdr:rowOff>121933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F9457D62-DDCA-4C22-BAEB-C192FFFFD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4" y="476250"/>
          <a:ext cx="1608590" cy="2743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733424</xdr:colOff>
      <xdr:row>1</xdr:row>
      <xdr:rowOff>161925</xdr:rowOff>
    </xdr:from>
    <xdr:to>
      <xdr:col>13</xdr:col>
      <xdr:colOff>960889</xdr:colOff>
      <xdr:row>2</xdr:row>
      <xdr:rowOff>121933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52C5EDC-319E-4990-9A8F-159F099CE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4" y="476250"/>
          <a:ext cx="1608590" cy="2743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733424</xdr:colOff>
      <xdr:row>1</xdr:row>
      <xdr:rowOff>161925</xdr:rowOff>
    </xdr:from>
    <xdr:to>
      <xdr:col>13</xdr:col>
      <xdr:colOff>960889</xdr:colOff>
      <xdr:row>2</xdr:row>
      <xdr:rowOff>121933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64081E2-74BF-4398-A519-69F94D478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4" y="476250"/>
          <a:ext cx="1608590" cy="2743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733424</xdr:colOff>
      <xdr:row>1</xdr:row>
      <xdr:rowOff>161925</xdr:rowOff>
    </xdr:from>
    <xdr:to>
      <xdr:col>13</xdr:col>
      <xdr:colOff>960889</xdr:colOff>
      <xdr:row>2</xdr:row>
      <xdr:rowOff>121933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13BA2E3-AA41-4452-B784-9381E7EA2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4" y="476250"/>
          <a:ext cx="1608590" cy="274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jla\AppData\Local\Temp\Arbeitsrapport-2017-mit-Soll-&#220;ber-und-Minusze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  <sheetName val="Feiert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>
            <v>42736</v>
          </cell>
        </row>
        <row r="3">
          <cell r="B3">
            <v>42737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42839</v>
          </cell>
        </row>
        <row r="7">
          <cell r="B7">
            <v>42840</v>
          </cell>
        </row>
        <row r="8">
          <cell r="B8">
            <v>42841</v>
          </cell>
        </row>
        <row r="9">
          <cell r="B9">
            <v>42842</v>
          </cell>
        </row>
        <row r="10">
          <cell r="B10">
            <v>0</v>
          </cell>
        </row>
        <row r="11">
          <cell r="B11">
            <v>42880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42889</v>
          </cell>
        </row>
        <row r="15">
          <cell r="B15">
            <v>42890</v>
          </cell>
        </row>
        <row r="16">
          <cell r="B16">
            <v>42891</v>
          </cell>
        </row>
        <row r="17">
          <cell r="B17">
            <v>0</v>
          </cell>
        </row>
        <row r="18">
          <cell r="B18">
            <v>42948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43094</v>
          </cell>
        </row>
        <row r="32">
          <cell r="B32">
            <v>43095</v>
          </cell>
        </row>
        <row r="33">
          <cell r="B33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9"/>
  <sheetViews>
    <sheetView showGridLines="0" tabSelected="1" zoomScaleNormal="100" workbookViewId="0">
      <pane xSplit="4" ySplit="4" topLeftCell="E5" activePane="bottomRight" state="frozen"/>
      <selection activeCell="B5" sqref="B5"/>
      <selection pane="topRight" activeCell="B5" sqref="B5"/>
      <selection pane="bottomLeft" activeCell="B5" sqref="B5"/>
      <selection pane="bottomRight" activeCell="E5" sqref="E5"/>
    </sheetView>
  </sheetViews>
  <sheetFormatPr baseColWidth="10" defaultRowHeight="15" x14ac:dyDescent="0.25"/>
  <cols>
    <col min="1" max="1" width="2.28515625" customWidth="1"/>
    <col min="2" max="2" width="8.85546875" customWidth="1"/>
    <col min="3" max="3" width="7.28515625" customWidth="1"/>
    <col min="4" max="4" width="1" customWidth="1"/>
    <col min="5" max="8" width="7.7109375" customWidth="1"/>
    <col min="9" max="9" width="8" customWidth="1"/>
    <col min="10" max="10" width="12.42578125" customWidth="1"/>
    <col min="11" max="11" width="12.140625" customWidth="1"/>
    <col min="12" max="12" width="12.85546875" customWidth="1"/>
    <col min="13" max="13" width="16.5703125" bestFit="1" customWidth="1"/>
    <col min="14" max="14" width="17.85546875" customWidth="1"/>
    <col min="15" max="15" width="4.28515625" customWidth="1"/>
    <col min="16" max="16" width="18.7109375" customWidth="1"/>
    <col min="17" max="17" width="12.28515625" customWidth="1"/>
    <col min="18" max="18" width="11.140625" customWidth="1"/>
    <col min="19" max="19" width="15.7109375" customWidth="1"/>
    <col min="20" max="20" width="4.140625" customWidth="1"/>
    <col min="21" max="21" width="29.140625" customWidth="1"/>
    <col min="22" max="22" width="16" customWidth="1"/>
    <col min="47" max="55" width="13.7109375" customWidth="1"/>
  </cols>
  <sheetData>
    <row r="1" spans="1:54" ht="24.75" customHeight="1" thickBot="1" x14ac:dyDescent="0.5">
      <c r="A1" s="117">
        <v>41639</v>
      </c>
      <c r="B1" s="142">
        <f>A1</f>
        <v>41639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54" s="21" customFormat="1" ht="24.75" customHeight="1" thickBot="1" x14ac:dyDescent="0.5">
      <c r="B2" s="59"/>
      <c r="C2" s="59"/>
      <c r="D2" s="59"/>
      <c r="E2" s="60"/>
      <c r="F2" s="60"/>
      <c r="G2" s="60"/>
      <c r="H2" s="60"/>
      <c r="I2" s="59"/>
      <c r="J2" s="59"/>
      <c r="K2" s="59"/>
      <c r="L2" s="59"/>
      <c r="M2" s="59"/>
      <c r="N2" s="59"/>
    </row>
    <row r="3" spans="1:54" ht="19.5" thickBot="1" x14ac:dyDescent="0.35">
      <c r="B3" s="58"/>
      <c r="C3" s="58"/>
      <c r="D3" s="58"/>
      <c r="E3" s="145" t="s">
        <v>0</v>
      </c>
      <c r="F3" s="146"/>
      <c r="G3" s="146"/>
      <c r="H3" s="147"/>
      <c r="I3" s="58"/>
      <c r="J3" s="58"/>
      <c r="K3" s="58"/>
      <c r="L3" s="58"/>
      <c r="M3" s="58"/>
      <c r="N3" s="58"/>
      <c r="O3" s="2"/>
    </row>
    <row r="4" spans="1:54" ht="19.5" thickBot="1" x14ac:dyDescent="0.35">
      <c r="B4" s="41" t="s">
        <v>4</v>
      </c>
      <c r="C4" s="41" t="s">
        <v>5</v>
      </c>
      <c r="D4" s="42"/>
      <c r="E4" s="41" t="s">
        <v>1</v>
      </c>
      <c r="F4" s="41" t="s">
        <v>2</v>
      </c>
      <c r="G4" s="41" t="s">
        <v>1</v>
      </c>
      <c r="H4" s="41" t="s">
        <v>2</v>
      </c>
      <c r="I4" s="41" t="s">
        <v>3</v>
      </c>
      <c r="J4" s="41" t="s">
        <v>7</v>
      </c>
      <c r="K4" s="41" t="s">
        <v>6</v>
      </c>
      <c r="L4" s="41" t="s">
        <v>11</v>
      </c>
      <c r="M4" s="41" t="s">
        <v>56</v>
      </c>
      <c r="N4" s="41" t="s">
        <v>71</v>
      </c>
      <c r="O4" s="20"/>
      <c r="P4" s="150" t="s">
        <v>10</v>
      </c>
      <c r="Q4" s="151"/>
      <c r="R4" s="151"/>
      <c r="S4" s="152"/>
      <c r="U4" s="148" t="s">
        <v>81</v>
      </c>
      <c r="V4" s="149"/>
      <c r="AU4" s="36" t="s">
        <v>46</v>
      </c>
      <c r="AV4" s="36" t="s">
        <v>46</v>
      </c>
      <c r="AW4" s="37" t="s">
        <v>66</v>
      </c>
      <c r="AX4" s="36" t="s">
        <v>67</v>
      </c>
      <c r="AY4" s="6" t="s">
        <v>3</v>
      </c>
      <c r="AZ4" s="36" t="s">
        <v>7</v>
      </c>
      <c r="BA4" s="36" t="s">
        <v>72</v>
      </c>
      <c r="BB4" s="6" t="s">
        <v>6</v>
      </c>
    </row>
    <row r="5" spans="1:54" ht="21.75" thickBot="1" x14ac:dyDescent="0.4">
      <c r="B5" s="45">
        <f>B1</f>
        <v>41639</v>
      </c>
      <c r="C5" s="46">
        <f>B5</f>
        <v>41639</v>
      </c>
      <c r="D5" s="3"/>
      <c r="E5" s="61"/>
      <c r="F5" s="61"/>
      <c r="G5" s="61"/>
      <c r="H5" s="61"/>
      <c r="I5" s="61" t="str">
        <f t="shared" ref="I5:I35" ca="1" si="0">IF(AZ5=0,"",IF(AY5=0,"",IF(OR(B5&lt;=TODAY(),AZ5),AY5,"")))</f>
        <v/>
      </c>
      <c r="J5" s="49">
        <f>IF(AND(Feiertage!$G$2&lt;&gt;"ja",AV5=1),IF(AZ5&gt;0,BB5+AZ5,BB5),IF(AZ5=0,0, IF(I5&lt;&gt;"",AZ5-I5,AZ5)))+AX5</f>
        <v>0.33333333333333331</v>
      </c>
      <c r="K5" s="61">
        <f>IF(AV5=0,BB5,IF(Feiertage!$G$2="ja","00:00",BB5))</f>
        <v>0.33333333333333331</v>
      </c>
      <c r="L5" s="52" t="str">
        <f t="shared" ref="L5:L18" ca="1" si="1">IF(OR(B5&lt;=TODAY(),J5,AW5="G"),IF(J5&lt;&gt;"",IF(J5-K5=0,"",J5-K5),IF(K5&lt;&gt;"",-K5,"")),"")</f>
        <v/>
      </c>
      <c r="M5" s="50" t="str">
        <f>IF(AV5=1,AU5,IF(LOWER(AW5)=LOWER(Urlaub!$W$19),Urlaub!$S$19,
IF(LOWER(AW5)=LOWER(Urlaub!$W$20),Urlaub!$S$20,
IF(LOWER(AW5)=LOWER(Urlaub!$W$21),Urlaub!$S$21,
IF(LOWER(AW5)=LOWER(Urlaub!$W$22),Urlaub!$S$22,
IF(LOWER(AW5)=LOWER(Urlaub!$W$23),Urlaub!$S$23,
IF(LOWER(AW5)=LOWER(Urlaub!$W$24),Urlaub!$S$24,""))))))&amp;IF(AND(EXACT(LOWER(AW5),AW5),AW5&lt;&gt;0)," 1/2",""))</f>
        <v>Neujahr</v>
      </c>
      <c r="N5" s="51">
        <f t="shared" ref="N5:N32" si="2">24*J5*IF(WEEKDAY(C5)=WEEKDAY($P$6),$S$6,
IF(WEEKDAY(C5)=WEEKDAY($P$7),$S$7,
IF(WEEKDAY(C5)=WEEKDAY($P$8),$S$8,
IF(WEEKDAY(C5)=WEEKDAY($P$9),$S$9,
IF(WEEKDAY(C5)=WEEKDAY($P$10),$S$10,
IF(WEEKDAY(C5)=WEEKDAY($P$11),$S$11,
IF(WEEKDAY(C5)=WEEKDAY($P$12),$S$12,"")))))))</f>
        <v>0</v>
      </c>
      <c r="P5" s="41" t="s">
        <v>8</v>
      </c>
      <c r="Q5" s="41" t="s">
        <v>6</v>
      </c>
      <c r="R5" s="41" t="s">
        <v>3</v>
      </c>
      <c r="S5" s="41" t="s">
        <v>70</v>
      </c>
      <c r="U5" s="112" t="str">
        <f xml:space="preserve"> "Übertrag aus " &amp; IF( MONTH(B1)=1, YEAR(B1)-1, TEXT(EDATE(B1,-1),"MMMM"))</f>
        <v>Übertrag aus 2017</v>
      </c>
      <c r="V5" s="130" t="str">
        <f ca="1">IF(MONTH(B1)&gt;1,INDIRECT(TEXT(EDATE(B1,-1),"MMMM")&amp;"!v10"),"")</f>
        <v/>
      </c>
      <c r="AU5" t="str">
        <f>IF(AV5=1,VLOOKUP($B5,Feiertage!$B$2:$D$49,3,FALSE),"")</f>
        <v>Neujahr</v>
      </c>
      <c r="AV5">
        <f>IF(IFERROR(MATCH($B5,Feiertage!$B$2:$B$49,0)&gt;0,0),1,0)</f>
        <v>1</v>
      </c>
      <c r="AW5" s="22">
        <f>IFERROR(HLOOKUP(DAY(B5),Urlaub!$C$4:$AG$16,MONTH(B5)+1,FALSE),0)</f>
        <v>0</v>
      </c>
      <c r="AX5" s="38">
        <f t="shared" ref="AX5:AX16" si="3">IFERROR(IF(AW5=0,0,IF(EXACT(LOWER(AW5),AW5),0.5*BB5,BB5)),"")</f>
        <v>0</v>
      </c>
      <c r="AY5" s="7">
        <f t="shared" ref="AY5:AY35" si="4">IFERROR(IF(WEEKDAY(C5)=WEEKDAY($P$6),$R$6,
IF(WEEKDAY(C5)=WEEKDAY($P$7),$R$7,
IF(WEEKDAY(C5)=WEEKDAY($P$8),$R$8,
IF(WEEKDAY(C5)=WEEKDAY($P$9),$R$9,
IF(WEEKDAY(C5)=WEEKDAY($P$10),$R$10,
IF(WEEKDAY(C5)=WEEKDAY($P$11),$R$11,
IF(WEEKDAY(C5)=WEEKDAY($P$12),$R$12,""))))))),"")</f>
        <v>2.0833333333333332E-2</v>
      </c>
      <c r="AZ5" s="5">
        <f t="shared" ref="AZ5:AZ35" si="5">IF(F5,IF(E5,IF(E5&gt;F5,F5+"24:00"-E5,F5-E5),0),0)+IF(G5,IF(G5,IF(G5&gt;H5,H5+"24:00"-G5,H5-G5),0),0)</f>
        <v>0</v>
      </c>
      <c r="BA5" s="39">
        <f>AZ5*24</f>
        <v>0</v>
      </c>
      <c r="BB5" s="5">
        <f t="shared" ref="BB5:BB35" si="6">IFERROR(IF(WEEKDAY(C5)=WEEKDAY($P$6),$Q$6,
IF(WEEKDAY(C5)=WEEKDAY($P$7),$Q$7,
IF(WEEKDAY(C5)=WEEKDAY($P$8),$Q$8,
IF(WEEKDAY(C5)=WEEKDAY($P$9),$Q$9,
IF(WEEKDAY(C5)=WEEKDAY($P$10),$Q$10,
IF(WEEKDAY(C5)=WEEKDAY($P$11),$Q$11,
IF(WEEKDAY(C5)=WEEKDAY($P$12),$Q$12,""))))))),"")</f>
        <v>0.33333333333333331</v>
      </c>
    </row>
    <row r="6" spans="1:54" ht="21" x14ac:dyDescent="0.35">
      <c r="B6" s="43">
        <f>B5+1</f>
        <v>41640</v>
      </c>
      <c r="C6" s="44">
        <f>B6</f>
        <v>41640</v>
      </c>
      <c r="D6" s="3"/>
      <c r="E6" s="62"/>
      <c r="F6" s="62"/>
      <c r="G6" s="62"/>
      <c r="H6" s="62"/>
      <c r="I6" s="62" t="str">
        <f t="shared" ca="1" si="0"/>
        <v/>
      </c>
      <c r="J6" s="52">
        <f>IF(AND(Feiertage!$G$2&lt;&gt;"ja",AV6=1),IF(AZ6&gt;0,BB6+AZ6,BB6),IF(AZ6=0,0, IF(I6&lt;&gt;"",AZ6-I6,AZ6)))+AX6</f>
        <v>0</v>
      </c>
      <c r="K6" s="62">
        <f>IF(AV6=0,BB6,IF(Feiertage!$G$2="ja","00:00",BB6))</f>
        <v>0.33333333333333331</v>
      </c>
      <c r="L6" s="52">
        <f t="shared" ca="1" si="1"/>
        <v>-0.33333333333333331</v>
      </c>
      <c r="M6" s="50" t="str">
        <f>IF(AV6=1,AU6,IF(LOWER(AW6)=LOWER(Urlaub!$W$19),Urlaub!$S$19,
IF(LOWER(AW6)=LOWER(Urlaub!$W$20),Urlaub!$S$20,
IF(LOWER(AW6)=LOWER(Urlaub!$W$21),Urlaub!$S$21,
IF(LOWER(AW6)=LOWER(Urlaub!$W$22),Urlaub!$S$22,
IF(LOWER(AW6)=LOWER(Urlaub!$W$23),Urlaub!$S$23,
IF(LOWER(AW6)=LOWER(Urlaub!$W$24),Urlaub!$S$24,""))))))&amp;IF(AND(EXACT(LOWER(AW6),AW6),AW6&lt;&gt;0)," 1/2",""))</f>
        <v/>
      </c>
      <c r="N6" s="53">
        <f t="shared" si="2"/>
        <v>0</v>
      </c>
      <c r="P6" s="54">
        <v>41639</v>
      </c>
      <c r="Q6" s="63">
        <v>0.33333333333333331</v>
      </c>
      <c r="R6" s="63">
        <v>2.0833333333333332E-2</v>
      </c>
      <c r="S6" s="64"/>
      <c r="U6" s="114" t="s">
        <v>6</v>
      </c>
      <c r="V6" s="113">
        <f>SUM(K5:K35)</f>
        <v>7.6666666666666634</v>
      </c>
      <c r="AU6" t="str">
        <f>IF(AV6=1,VLOOKUP($B6,Feiertage!$B$2:$D$49,3,FALSE),"")</f>
        <v/>
      </c>
      <c r="AV6">
        <f>IF(IFERROR(MATCH($B6,Feiertage!$B$2:$B$49,0)&gt;0,0),1,0)</f>
        <v>0</v>
      </c>
      <c r="AW6" s="22">
        <f>IFERROR(HLOOKUP(DAY(B6),Urlaub!$C$4:$AG$16,MONTH(B6)+1,FALSE),0)</f>
        <v>0</v>
      </c>
      <c r="AX6" s="38">
        <f t="shared" si="3"/>
        <v>0</v>
      </c>
      <c r="AY6" s="7">
        <f t="shared" si="4"/>
        <v>2.0833333333333332E-2</v>
      </c>
      <c r="AZ6" s="5">
        <f t="shared" si="5"/>
        <v>0</v>
      </c>
      <c r="BA6" s="39">
        <f t="shared" ref="BA6:BA35" si="7">AZ6*24</f>
        <v>0</v>
      </c>
      <c r="BB6" s="5">
        <f t="shared" si="6"/>
        <v>0.33333333333333331</v>
      </c>
    </row>
    <row r="7" spans="1:54" ht="21" x14ac:dyDescent="0.35">
      <c r="B7" s="43">
        <f t="shared" ref="B7:B32" si="8">B6+1</f>
        <v>41641</v>
      </c>
      <c r="C7" s="44">
        <f t="shared" ref="C7:C35" si="9">B7</f>
        <v>41641</v>
      </c>
      <c r="D7" s="3"/>
      <c r="E7" s="62"/>
      <c r="F7" s="62"/>
      <c r="G7" s="62"/>
      <c r="H7" s="62"/>
      <c r="I7" s="62" t="str">
        <f t="shared" ca="1" si="0"/>
        <v/>
      </c>
      <c r="J7" s="52">
        <f>IF(AND(Feiertage!$G$2&lt;&gt;"ja",AV7=1),IF(AZ7&gt;0,BB7+AZ7,BB7),IF(AZ7=0,0, IF(I7&lt;&gt;"",AZ7-I7,AZ7)))+AX7</f>
        <v>0</v>
      </c>
      <c r="K7" s="62">
        <f>IF(AV7=0,BB7,IF(Feiertage!$G$2="ja","00:00",BB7))</f>
        <v>0.33333333333333331</v>
      </c>
      <c r="L7" s="52">
        <f t="shared" ca="1" si="1"/>
        <v>-0.33333333333333331</v>
      </c>
      <c r="M7" s="50" t="str">
        <f>IF(AV7=1,AU7,IF(LOWER(AW7)=LOWER(Urlaub!$W$19),Urlaub!$S$19,
IF(LOWER(AW7)=LOWER(Urlaub!$W$20),Urlaub!$S$20,
IF(LOWER(AW7)=LOWER(Urlaub!$W$21),Urlaub!$S$21,
IF(LOWER(AW7)=LOWER(Urlaub!$W$22),Urlaub!$S$22,
IF(LOWER(AW7)=LOWER(Urlaub!$W$23),Urlaub!$S$23,
IF(LOWER(AW7)=LOWER(Urlaub!$W$24),Urlaub!$S$24,""))))))&amp;IF(AND(EXACT(LOWER(AW7),AW7),AW7&lt;&gt;0)," 1/2",""))</f>
        <v/>
      </c>
      <c r="N7" s="53">
        <f t="shared" si="2"/>
        <v>0</v>
      </c>
      <c r="P7" s="55">
        <v>41640</v>
      </c>
      <c r="Q7" s="65">
        <v>0.33333333333333331</v>
      </c>
      <c r="R7" s="63">
        <v>2.0833333333333332E-2</v>
      </c>
      <c r="S7" s="66"/>
      <c r="U7" s="114" t="s">
        <v>7</v>
      </c>
      <c r="V7" s="113">
        <f>SUM(J5:J35)</f>
        <v>0.33333333333333331</v>
      </c>
      <c r="AU7" t="str">
        <f>IF(AV7=1,VLOOKUP($B7,Feiertage!$B$2:$D$49,3,FALSE),"")</f>
        <v/>
      </c>
      <c r="AV7">
        <f>IF(IFERROR(MATCH($B7,Feiertage!$B$2:$B$49,0)&gt;0,0),1,0)</f>
        <v>0</v>
      </c>
      <c r="AW7" s="22">
        <f>IFERROR(HLOOKUP(DAY(B7),Urlaub!$C$4:$AG$16,MONTH(B7)+1,FALSE),0)</f>
        <v>0</v>
      </c>
      <c r="AX7" s="38">
        <f t="shared" si="3"/>
        <v>0</v>
      </c>
      <c r="AY7" s="7">
        <f t="shared" si="4"/>
        <v>2.0833333333333301E-2</v>
      </c>
      <c r="AZ7" s="5">
        <f t="shared" si="5"/>
        <v>0</v>
      </c>
      <c r="BA7" s="39">
        <f t="shared" si="7"/>
        <v>0</v>
      </c>
      <c r="BB7" s="5">
        <f t="shared" si="6"/>
        <v>0.33333333333333331</v>
      </c>
    </row>
    <row r="8" spans="1:54" ht="21" x14ac:dyDescent="0.35">
      <c r="B8" s="43">
        <f t="shared" si="8"/>
        <v>41642</v>
      </c>
      <c r="C8" s="44">
        <f t="shared" si="9"/>
        <v>41642</v>
      </c>
      <c r="D8" s="3"/>
      <c r="E8" s="62"/>
      <c r="F8" s="62"/>
      <c r="G8" s="62"/>
      <c r="H8" s="62"/>
      <c r="I8" s="62" t="str">
        <f t="shared" ca="1" si="0"/>
        <v/>
      </c>
      <c r="J8" s="52">
        <f>IF(AND(Feiertage!$G$2&lt;&gt;"ja",AV8=1),IF(AZ8&gt;0,BB8+AZ8,BB8),IF(AZ8=0,0, IF(I8&lt;&gt;"",AZ8-I8,AZ8)))+AX8</f>
        <v>0</v>
      </c>
      <c r="K8" s="62">
        <f>IF(AV8=0,BB8,IF(Feiertage!$G$2="ja","00:00",BB8))</f>
        <v>0.33333333333333331</v>
      </c>
      <c r="L8" s="52">
        <f t="shared" ca="1" si="1"/>
        <v>-0.33333333333333331</v>
      </c>
      <c r="M8" s="50" t="str">
        <f>IF(AV8=1,AU8,IF(LOWER(AW8)=LOWER(Urlaub!$W$19),Urlaub!$S$19,
IF(LOWER(AW8)=LOWER(Urlaub!$W$20),Urlaub!$S$20,
IF(LOWER(AW8)=LOWER(Urlaub!$W$21),Urlaub!$S$21,
IF(LOWER(AW8)=LOWER(Urlaub!$W$22),Urlaub!$S$22,
IF(LOWER(AW8)=LOWER(Urlaub!$W$23),Urlaub!$S$23,
IF(LOWER(AW8)=LOWER(Urlaub!$W$24),Urlaub!$S$24,""))))))&amp;IF(AND(EXACT(LOWER(AW8),AW8),AW8&lt;&gt;0)," 1/2",""))</f>
        <v/>
      </c>
      <c r="N8" s="53">
        <f t="shared" si="2"/>
        <v>0</v>
      </c>
      <c r="P8" s="55">
        <v>41641</v>
      </c>
      <c r="Q8" s="65">
        <v>0.33333333333333331</v>
      </c>
      <c r="R8" s="63">
        <v>2.0833333333333301E-2</v>
      </c>
      <c r="S8" s="66"/>
      <c r="U8" s="115" t="str">
        <f xml:space="preserve"> "Saldo " &amp; TEXT(B1,"MMMM")</f>
        <v>Saldo Januar</v>
      </c>
      <c r="V8" s="132">
        <f ca="1">SUM(L5:L35)</f>
        <v>-7.3333333333333304</v>
      </c>
      <c r="AU8" t="str">
        <f>IF(AV8=1,VLOOKUP($B8,Feiertage!$B$2:$D$49,3,FALSE),"")</f>
        <v/>
      </c>
      <c r="AV8">
        <f>IF(IFERROR(MATCH($B8,Feiertage!$B$2:$B$49,0)&gt;0,0),1,0)</f>
        <v>0</v>
      </c>
      <c r="AW8" s="22">
        <f>IFERROR(HLOOKUP(DAY(B8),Urlaub!$C$4:$AG$16,MONTH(B8)+1,FALSE),0)</f>
        <v>0</v>
      </c>
      <c r="AX8" s="38">
        <f t="shared" si="3"/>
        <v>0</v>
      </c>
      <c r="AY8" s="7">
        <f t="shared" si="4"/>
        <v>2.0833333333333301E-2</v>
      </c>
      <c r="AZ8" s="5">
        <f t="shared" si="5"/>
        <v>0</v>
      </c>
      <c r="BA8" s="39">
        <f t="shared" si="7"/>
        <v>0</v>
      </c>
      <c r="BB8" s="5">
        <f t="shared" si="6"/>
        <v>0.33333333333333331</v>
      </c>
    </row>
    <row r="9" spans="1:54" ht="18.75" x14ac:dyDescent="0.3">
      <c r="B9" s="43">
        <f t="shared" si="8"/>
        <v>41643</v>
      </c>
      <c r="C9" s="44">
        <f t="shared" si="9"/>
        <v>41643</v>
      </c>
      <c r="D9" s="3"/>
      <c r="E9" s="62"/>
      <c r="F9" s="62"/>
      <c r="G9" s="62"/>
      <c r="H9" s="62"/>
      <c r="I9" s="62" t="str">
        <f t="shared" ca="1" si="0"/>
        <v/>
      </c>
      <c r="J9" s="52">
        <f>IF(AND(Feiertage!$G$2&lt;&gt;"ja",AV9=1),IF(AZ9&gt;0,BB9+AZ9,BB9),IF(AZ9=0,0, IF(I9&lt;&gt;"",AZ9-I9,AZ9)))+AX9</f>
        <v>0</v>
      </c>
      <c r="K9" s="62">
        <f>IF(AV9=0,BB9,IF(Feiertage!$G$2="ja","00:00",BB9))</f>
        <v>0.33333333333333331</v>
      </c>
      <c r="L9" s="52">
        <f t="shared" ca="1" si="1"/>
        <v>-0.33333333333333331</v>
      </c>
      <c r="M9" s="50" t="str">
        <f>IF(AV9=1,AU9,IF(LOWER(AW9)=LOWER(Urlaub!$W$19),Urlaub!$S$19,
IF(LOWER(AW9)=LOWER(Urlaub!$W$20),Urlaub!$S$20,
IF(LOWER(AW9)=LOWER(Urlaub!$W$21),Urlaub!$S$21,
IF(LOWER(AW9)=LOWER(Urlaub!$W$22),Urlaub!$S$22,
IF(LOWER(AW9)=LOWER(Urlaub!$W$23),Urlaub!$S$23,
IF(LOWER(AW9)=LOWER(Urlaub!$W$24),Urlaub!$S$24,""))))))&amp;IF(AND(EXACT(LOWER(AW9),AW9),AW9&lt;&gt;0)," 1/2",""))</f>
        <v/>
      </c>
      <c r="N9" s="53">
        <f t="shared" si="2"/>
        <v>0</v>
      </c>
      <c r="P9" s="55">
        <v>41642</v>
      </c>
      <c r="Q9" s="65">
        <v>0.33333333333333331</v>
      </c>
      <c r="R9" s="63">
        <v>2.0833333333333301E-2</v>
      </c>
      <c r="S9" s="66"/>
      <c r="U9" s="131" t="s">
        <v>85</v>
      </c>
      <c r="V9" s="134"/>
      <c r="AU9" t="str">
        <f>IF(AV9=1,VLOOKUP($B9,Feiertage!$B$2:$D$49,3,FALSE),"")</f>
        <v/>
      </c>
      <c r="AV9">
        <f>IF(IFERROR(MATCH($B9,Feiertage!$B$2:$B$49,0)&gt;0,0),1,0)</f>
        <v>0</v>
      </c>
      <c r="AW9" s="22">
        <f>IFERROR(HLOOKUP(DAY(B9),Urlaub!$C$4:$AG$16,MONTH(B9)+1,FALSE),0)</f>
        <v>0</v>
      </c>
      <c r="AX9" s="38">
        <f t="shared" si="3"/>
        <v>0</v>
      </c>
      <c r="AY9" s="7">
        <f t="shared" si="4"/>
        <v>2.0833333333333301E-2</v>
      </c>
      <c r="AZ9" s="5">
        <f t="shared" si="5"/>
        <v>0</v>
      </c>
      <c r="BA9" s="39">
        <f t="shared" si="7"/>
        <v>0</v>
      </c>
      <c r="BB9" s="5">
        <f t="shared" si="6"/>
        <v>0.33333333333333331</v>
      </c>
    </row>
    <row r="10" spans="1:54" ht="21.75" thickBot="1" x14ac:dyDescent="0.4">
      <c r="B10" s="43">
        <f t="shared" si="8"/>
        <v>41644</v>
      </c>
      <c r="C10" s="44">
        <f t="shared" si="9"/>
        <v>41644</v>
      </c>
      <c r="D10" s="3"/>
      <c r="E10" s="62"/>
      <c r="F10" s="62"/>
      <c r="G10" s="62"/>
      <c r="H10" s="62"/>
      <c r="I10" s="62" t="str">
        <f t="shared" ca="1" si="0"/>
        <v/>
      </c>
      <c r="J10" s="52">
        <f>IF(AND(Feiertage!$G$2&lt;&gt;"ja",AV10=1),IF(AZ10&gt;0,BB10+AZ10,BB10),IF(AZ10=0,0, IF(I10&lt;&gt;"",AZ10-I10,AZ10)))+AX10</f>
        <v>0</v>
      </c>
      <c r="K10" s="62">
        <f>IF(AV10=0,BB10,IF(Feiertage!$G$2="ja","00:00",BB10))</f>
        <v>0</v>
      </c>
      <c r="L10" s="52" t="str">
        <f t="shared" ca="1" si="1"/>
        <v/>
      </c>
      <c r="M10" s="50" t="str">
        <f>IF(AV10=1,AU10,IF(LOWER(AW10)=LOWER(Urlaub!$W$19),Urlaub!$S$19,
IF(LOWER(AW10)=LOWER(Urlaub!$W$20),Urlaub!$S$20,
IF(LOWER(AW10)=LOWER(Urlaub!$W$21),Urlaub!$S$21,
IF(LOWER(AW10)=LOWER(Urlaub!$W$22),Urlaub!$S$22,
IF(LOWER(AW10)=LOWER(Urlaub!$W$23),Urlaub!$S$23,
IF(LOWER(AW10)=LOWER(Urlaub!$W$24),Urlaub!$S$24,""))))))&amp;IF(AND(EXACT(LOWER(AW10),AW10),AW10&lt;&gt;0)," 1/2",""))</f>
        <v>3 Könige</v>
      </c>
      <c r="N10" s="53">
        <f t="shared" si="2"/>
        <v>0</v>
      </c>
      <c r="P10" s="55">
        <v>41643</v>
      </c>
      <c r="Q10" s="65">
        <v>0.33333333333333331</v>
      </c>
      <c r="R10" s="63">
        <v>2.0833333333333301E-2</v>
      </c>
      <c r="S10" s="66"/>
      <c r="U10" s="116" t="str">
        <f xml:space="preserve"> "Übertrag in " &amp;  IF( MONTH(B1)=12, YEAR(B1)+1, TEXT(EDATE(B1,1),"MMMM"))</f>
        <v>Übertrag in Februar</v>
      </c>
      <c r="V10" s="133">
        <f ca="1">IF(V5="",0,V5)+V8+V9</f>
        <v>-7.3333333333333304</v>
      </c>
      <c r="AU10" t="str">
        <f>IF(AV10=1,VLOOKUP($B10,Feiertage!$B$2:$D$49,3,FALSE),"")</f>
        <v>3 Könige</v>
      </c>
      <c r="AV10">
        <f>IF(IFERROR(MATCH($B10,Feiertage!$B$2:$B$49,0)&gt;0,0),1,0)</f>
        <v>1</v>
      </c>
      <c r="AW10" s="22">
        <f>IFERROR(HLOOKUP(DAY(B10),Urlaub!$C$4:$AG$16,MONTH(B10)+1,FALSE),0)</f>
        <v>0</v>
      </c>
      <c r="AX10" s="38">
        <f t="shared" si="3"/>
        <v>0</v>
      </c>
      <c r="AY10" s="7">
        <f t="shared" si="4"/>
        <v>2.0833333333333301E-2</v>
      </c>
      <c r="AZ10" s="5">
        <f t="shared" si="5"/>
        <v>0</v>
      </c>
      <c r="BA10" s="39">
        <f t="shared" si="7"/>
        <v>0</v>
      </c>
      <c r="BB10" s="5">
        <f t="shared" si="6"/>
        <v>0</v>
      </c>
    </row>
    <row r="11" spans="1:54" ht="18.75" x14ac:dyDescent="0.3">
      <c r="B11" s="43">
        <f t="shared" si="8"/>
        <v>41645</v>
      </c>
      <c r="C11" s="44">
        <f t="shared" si="9"/>
        <v>41645</v>
      </c>
      <c r="D11" s="3"/>
      <c r="E11" s="62"/>
      <c r="F11" s="62"/>
      <c r="G11" s="62"/>
      <c r="H11" s="62"/>
      <c r="I11" s="62" t="str">
        <f t="shared" ca="1" si="0"/>
        <v/>
      </c>
      <c r="J11" s="52">
        <f>IF(AND(Feiertage!$G$2&lt;&gt;"ja",AV11=1),IF(AZ11&gt;0,BB11+AZ11,BB11),IF(AZ11=0,0, IF(I11&lt;&gt;"",AZ11-I11,AZ11)))+AX11</f>
        <v>0</v>
      </c>
      <c r="K11" s="62">
        <f>IF(AV11=0,BB11,IF(Feiertage!$G$2="ja","00:00",BB11))</f>
        <v>0</v>
      </c>
      <c r="L11" s="52" t="str">
        <f t="shared" ca="1" si="1"/>
        <v/>
      </c>
      <c r="M11" s="50" t="str">
        <f>IF(AV11=1,AU11,IF(LOWER(AW11)=LOWER(Urlaub!$W$19),Urlaub!$S$19,
IF(LOWER(AW11)=LOWER(Urlaub!$W$20),Urlaub!$S$20,
IF(LOWER(AW11)=LOWER(Urlaub!$W$21),Urlaub!$S$21,
IF(LOWER(AW11)=LOWER(Urlaub!$W$22),Urlaub!$S$22,
IF(LOWER(AW11)=LOWER(Urlaub!$W$23),Urlaub!$S$23,
IF(LOWER(AW11)=LOWER(Urlaub!$W$24),Urlaub!$S$24,""))))))&amp;IF(AND(EXACT(LOWER(AW11),AW11),AW11&lt;&gt;0)," 1/2",""))</f>
        <v/>
      </c>
      <c r="N11" s="53">
        <f t="shared" si="2"/>
        <v>0</v>
      </c>
      <c r="O11" s="21"/>
      <c r="P11" s="79">
        <v>41644</v>
      </c>
      <c r="Q11" s="67">
        <v>0</v>
      </c>
      <c r="R11" s="63">
        <v>2.0833333333333301E-2</v>
      </c>
      <c r="S11" s="66"/>
      <c r="AU11" t="str">
        <f>IF(AV11=1,VLOOKUP($B11,Feiertage!$B$2:$D$49,3,FALSE),"")</f>
        <v/>
      </c>
      <c r="AV11">
        <f>IF(IFERROR(MATCH($B11,Feiertage!$B$2:$B$49,0)&gt;0,0),1,0)</f>
        <v>0</v>
      </c>
      <c r="AW11" s="22">
        <f>IFERROR(HLOOKUP(DAY(B11),Urlaub!$C$4:$AG$16,MONTH(B11)+1,FALSE),0)</f>
        <v>0</v>
      </c>
      <c r="AX11" s="38">
        <f t="shared" si="3"/>
        <v>0</v>
      </c>
      <c r="AY11" s="7">
        <f t="shared" si="4"/>
        <v>2.0833333333333301E-2</v>
      </c>
      <c r="AZ11" s="5">
        <f>IF(F11,IF(E11,IF(E11&gt;F11,F11+"24:00"-E11,F11-E11),0),0)+IF(G11,IF(G11,IF(G11&gt;H11,H11+"24:00"-G11,H11-G11),0),0)</f>
        <v>0</v>
      </c>
      <c r="BA11" s="39">
        <f t="shared" si="7"/>
        <v>0</v>
      </c>
      <c r="BB11" s="5">
        <f t="shared" si="6"/>
        <v>0</v>
      </c>
    </row>
    <row r="12" spans="1:54" ht="19.5" thickBot="1" x14ac:dyDescent="0.35">
      <c r="B12" s="43">
        <f t="shared" si="8"/>
        <v>41646</v>
      </c>
      <c r="C12" s="44">
        <f t="shared" si="9"/>
        <v>41646</v>
      </c>
      <c r="D12" s="3"/>
      <c r="E12" s="62"/>
      <c r="F12" s="62"/>
      <c r="G12" s="62"/>
      <c r="H12" s="62"/>
      <c r="I12" s="62" t="str">
        <f t="shared" ca="1" si="0"/>
        <v/>
      </c>
      <c r="J12" s="52">
        <f>IF(AND(Feiertage!$G$2&lt;&gt;"ja",AV12=1),IF(AZ12&gt;0,BB12+AZ12,BB12),IF(AZ12=0,0, IF(I12&lt;&gt;"",AZ12-I12,AZ12)))+AX12</f>
        <v>0</v>
      </c>
      <c r="K12" s="62">
        <f>IF(AV12=0,BB12,IF(Feiertage!$G$2="ja","00:00",BB12))</f>
        <v>0.33333333333333331</v>
      </c>
      <c r="L12" s="52">
        <f t="shared" ca="1" si="1"/>
        <v>-0.33333333333333331</v>
      </c>
      <c r="M12" s="50" t="str">
        <f>IF(AV12=1,AU12,IF(LOWER(AW12)=LOWER(Urlaub!$W$19),Urlaub!$S$19,
IF(LOWER(AW12)=LOWER(Urlaub!$W$20),Urlaub!$S$20,
IF(LOWER(AW12)=LOWER(Urlaub!$W$21),Urlaub!$S$21,
IF(LOWER(AW12)=LOWER(Urlaub!$W$22),Urlaub!$S$22,
IF(LOWER(AW12)=LOWER(Urlaub!$W$23),Urlaub!$S$23,
IF(LOWER(AW12)=LOWER(Urlaub!$W$24),Urlaub!$S$24,""))))))&amp;IF(AND(EXACT(LOWER(AW12),AW12),AW12&lt;&gt;0)," 1/2",""))</f>
        <v/>
      </c>
      <c r="N12" s="53">
        <f t="shared" si="2"/>
        <v>0</v>
      </c>
      <c r="P12" s="80">
        <v>41645</v>
      </c>
      <c r="Q12" s="68">
        <v>0</v>
      </c>
      <c r="R12" s="110">
        <v>2.0833333333333301E-2</v>
      </c>
      <c r="S12" s="69"/>
      <c r="AU12" t="str">
        <f>IF(AV12=1,VLOOKUP($B12,Feiertage!$B$2:$D$49,3,FALSE),"")</f>
        <v/>
      </c>
      <c r="AV12">
        <f>IF(IFERROR(MATCH($B12,Feiertage!$B$2:$B$49,0)&gt;0,0),1,0)</f>
        <v>0</v>
      </c>
      <c r="AW12" s="22">
        <f>IFERROR(HLOOKUP(DAY(B12),Urlaub!$C$4:$AG$16,MONTH(B12)+1,FALSE),0)</f>
        <v>0</v>
      </c>
      <c r="AX12" s="38">
        <f t="shared" si="3"/>
        <v>0</v>
      </c>
      <c r="AY12" s="7">
        <f t="shared" si="4"/>
        <v>2.0833333333333332E-2</v>
      </c>
      <c r="AZ12" s="5">
        <f>IF(F12,IF(E12,IF(E12&gt;F12,F12+"24:00"-E12,F12-E12),0),0)+IF(G12,IF(G12,IF(G12&gt;H12,H12+"24:00"-G12,H12-G12),0),0)</f>
        <v>0</v>
      </c>
      <c r="BA12" s="39">
        <f t="shared" si="7"/>
        <v>0</v>
      </c>
      <c r="BB12" s="5">
        <f t="shared" si="6"/>
        <v>0.33333333333333331</v>
      </c>
    </row>
    <row r="13" spans="1:54" ht="19.5" thickBot="1" x14ac:dyDescent="0.35">
      <c r="B13" s="43">
        <f t="shared" si="8"/>
        <v>41647</v>
      </c>
      <c r="C13" s="44">
        <f t="shared" si="9"/>
        <v>41647</v>
      </c>
      <c r="D13" s="3"/>
      <c r="E13" s="62"/>
      <c r="F13" s="62"/>
      <c r="G13" s="62"/>
      <c r="H13" s="62"/>
      <c r="I13" s="62" t="str">
        <f t="shared" ca="1" si="0"/>
        <v/>
      </c>
      <c r="J13" s="52">
        <f>IF(AND(Feiertage!$G$2&lt;&gt;"ja",AV13=1),IF(AZ13&gt;0,BB13+AZ13,BB13),IF(AZ13=0,0, IF(I13&lt;&gt;"",AZ13-I13,AZ13)))+AX13</f>
        <v>0</v>
      </c>
      <c r="K13" s="62">
        <f>IF(AV13=0,BB13,IF(Feiertage!$G$2="ja","00:00",BB13))</f>
        <v>0.33333333333333331</v>
      </c>
      <c r="L13" s="52">
        <f t="shared" ca="1" si="1"/>
        <v>-0.33333333333333331</v>
      </c>
      <c r="M13" s="50" t="str">
        <f>IF(AV13=1,AU13,IF(LOWER(AW13)=LOWER(Urlaub!$W$19),Urlaub!$S$19,
IF(LOWER(AW13)=LOWER(Urlaub!$W$20),Urlaub!$S$20,
IF(LOWER(AW13)=LOWER(Urlaub!$W$21),Urlaub!$S$21,
IF(LOWER(AW13)=LOWER(Urlaub!$W$22),Urlaub!$S$22,
IF(LOWER(AW13)=LOWER(Urlaub!$W$23),Urlaub!$S$23,
IF(LOWER(AW13)=LOWER(Urlaub!$W$24),Urlaub!$S$24,""))))))&amp;IF(AND(EXACT(LOWER(AW13),AW13),AW13&lt;&gt;0)," 1/2",""))</f>
        <v/>
      </c>
      <c r="N13" s="53">
        <f t="shared" si="2"/>
        <v>0</v>
      </c>
      <c r="P13" s="56" t="s">
        <v>9</v>
      </c>
      <c r="Q13" s="57">
        <f>SUM(Q6:Q12)</f>
        <v>1.6666666666666665</v>
      </c>
      <c r="R13" s="4"/>
      <c r="Y13" s="7"/>
      <c r="AU13" t="str">
        <f>IF(AV13=1,VLOOKUP($B13,Feiertage!$B$2:$D$49,3,FALSE),"")</f>
        <v/>
      </c>
      <c r="AV13">
        <f>IF(IFERROR(MATCH($B13,Feiertage!$B$2:$B$49,0)&gt;0,0),1,0)</f>
        <v>0</v>
      </c>
      <c r="AW13" s="22">
        <f>IFERROR(HLOOKUP(DAY(B13),Urlaub!$C$4:$AG$16,MONTH(B13)+1,FALSE),0)</f>
        <v>0</v>
      </c>
      <c r="AX13" s="38">
        <f t="shared" si="3"/>
        <v>0</v>
      </c>
      <c r="AY13" s="7">
        <f t="shared" si="4"/>
        <v>2.0833333333333332E-2</v>
      </c>
      <c r="AZ13" s="5">
        <f t="shared" si="5"/>
        <v>0</v>
      </c>
      <c r="BA13" s="39">
        <f t="shared" si="7"/>
        <v>0</v>
      </c>
      <c r="BB13" s="5">
        <f t="shared" si="6"/>
        <v>0.33333333333333331</v>
      </c>
    </row>
    <row r="14" spans="1:54" ht="18.75" x14ac:dyDescent="0.3">
      <c r="B14" s="43">
        <f t="shared" si="8"/>
        <v>41648</v>
      </c>
      <c r="C14" s="44">
        <f t="shared" si="9"/>
        <v>41648</v>
      </c>
      <c r="D14" s="3"/>
      <c r="E14" s="62"/>
      <c r="F14" s="62"/>
      <c r="G14" s="62"/>
      <c r="H14" s="62"/>
      <c r="I14" s="62" t="str">
        <f t="shared" ca="1" si="0"/>
        <v/>
      </c>
      <c r="J14" s="52">
        <f>IF(AND(Feiertage!$G$2&lt;&gt;"ja",AV14=1),IF(AZ14&gt;0,BB14+AZ14,BB14),IF(AZ14=0,0, IF(I14&lt;&gt;"",AZ14-I14,AZ14)))+AX14</f>
        <v>0</v>
      </c>
      <c r="K14" s="62">
        <f>IF(AV14=0,BB14,IF(Feiertage!$G$2="ja","00:00",BB14))</f>
        <v>0.33333333333333331</v>
      </c>
      <c r="L14" s="52">
        <f t="shared" ca="1" si="1"/>
        <v>-0.33333333333333331</v>
      </c>
      <c r="M14" s="50" t="str">
        <f>IF(AV14=1,AU14,IF(LOWER(AW14)=LOWER(Urlaub!$W$19),Urlaub!$S$19,
IF(LOWER(AW14)=LOWER(Urlaub!$W$20),Urlaub!$S$20,
IF(LOWER(AW14)=LOWER(Urlaub!$W$21),Urlaub!$S$21,
IF(LOWER(AW14)=LOWER(Urlaub!$W$22),Urlaub!$S$22,
IF(LOWER(AW14)=LOWER(Urlaub!$W$23),Urlaub!$S$23,
IF(LOWER(AW14)=LOWER(Urlaub!$W$24),Urlaub!$S$24,""))))))&amp;IF(AND(EXACT(LOWER(AW14),AW14),AW14&lt;&gt;0)," 1/2",""))</f>
        <v/>
      </c>
      <c r="N14" s="53">
        <f t="shared" si="2"/>
        <v>0</v>
      </c>
      <c r="O14" s="6"/>
      <c r="AU14" t="str">
        <f>IF(AV14=1,VLOOKUP($B14,Feiertage!$B$2:$D$49,3,FALSE),"")</f>
        <v/>
      </c>
      <c r="AV14">
        <f>IF(IFERROR(MATCH($B14,Feiertage!$B$2:$B$49,0)&gt;0,0),1,0)</f>
        <v>0</v>
      </c>
      <c r="AW14" s="22">
        <f>IFERROR(HLOOKUP(DAY(B14),Urlaub!$C$4:$AG$16,MONTH(B14)+1,FALSE),0)</f>
        <v>0</v>
      </c>
      <c r="AX14" s="38">
        <f t="shared" si="3"/>
        <v>0</v>
      </c>
      <c r="AY14" s="7">
        <f t="shared" si="4"/>
        <v>2.0833333333333301E-2</v>
      </c>
      <c r="AZ14" s="5">
        <f t="shared" si="5"/>
        <v>0</v>
      </c>
      <c r="BA14" s="39">
        <f t="shared" si="7"/>
        <v>0</v>
      </c>
      <c r="BB14" s="5">
        <f t="shared" si="6"/>
        <v>0.33333333333333331</v>
      </c>
    </row>
    <row r="15" spans="1:54" ht="19.5" thickBot="1" x14ac:dyDescent="0.35">
      <c r="B15" s="43">
        <f t="shared" si="8"/>
        <v>41649</v>
      </c>
      <c r="C15" s="44">
        <f t="shared" si="9"/>
        <v>41649</v>
      </c>
      <c r="D15" s="3"/>
      <c r="E15" s="62"/>
      <c r="F15" s="62"/>
      <c r="G15" s="62"/>
      <c r="H15" s="62"/>
      <c r="I15" s="62" t="str">
        <f t="shared" ca="1" si="0"/>
        <v/>
      </c>
      <c r="J15" s="52">
        <f>IF(AND(Feiertage!$G$2&lt;&gt;"ja",AV15=1),IF(AZ15&gt;0,BB15+AZ15,BB15),IF(AZ15=0,0, IF(I15&lt;&gt;"",AZ15-I15,AZ15)))+AX15</f>
        <v>0</v>
      </c>
      <c r="K15" s="62">
        <f>IF(AV15=0,BB15,IF(Feiertage!$G$2="ja","00:00",BB15))</f>
        <v>0.33333333333333331</v>
      </c>
      <c r="L15" s="52">
        <f t="shared" ca="1" si="1"/>
        <v>-0.33333333333333331</v>
      </c>
      <c r="M15" s="50" t="str">
        <f>IF(AV15=1,AU15,IF(LOWER(AW15)=LOWER(Urlaub!$W$19),Urlaub!$S$19,
IF(LOWER(AW15)=LOWER(Urlaub!$W$20),Urlaub!$S$20,
IF(LOWER(AW15)=LOWER(Urlaub!$W$21),Urlaub!$S$21,
IF(LOWER(AW15)=LOWER(Urlaub!$W$22),Urlaub!$S$22,
IF(LOWER(AW15)=LOWER(Urlaub!$W$23),Urlaub!$S$23,
IF(LOWER(AW15)=LOWER(Urlaub!$W$24),Urlaub!$S$24,""))))))&amp;IF(AND(EXACT(LOWER(AW15),AW15),AW15&lt;&gt;0)," 1/2",""))</f>
        <v/>
      </c>
      <c r="N15" s="53">
        <f t="shared" si="2"/>
        <v>0</v>
      </c>
      <c r="P15" s="153" t="s">
        <v>86</v>
      </c>
      <c r="Q15" s="154"/>
      <c r="R15" s="154"/>
      <c r="S15" s="154"/>
      <c r="T15" s="154"/>
      <c r="U15" s="154"/>
      <c r="V15" s="154"/>
      <c r="AU15" t="str">
        <f>IF(AV15=1,VLOOKUP($B15,Feiertage!$B$2:$D$49,3,FALSE),"")</f>
        <v/>
      </c>
      <c r="AV15">
        <f>IF(IFERROR(MATCH($B15,Feiertage!$B$2:$B$49,0)&gt;0,0),1,0)</f>
        <v>0</v>
      </c>
      <c r="AW15" s="22">
        <f>IFERROR(HLOOKUP(DAY(B15),Urlaub!$C$4:$AG$16,MONTH(B15)+1,FALSE),0)</f>
        <v>0</v>
      </c>
      <c r="AX15" s="38">
        <f t="shared" si="3"/>
        <v>0</v>
      </c>
      <c r="AY15" s="7">
        <f t="shared" si="4"/>
        <v>2.0833333333333301E-2</v>
      </c>
      <c r="AZ15" s="5">
        <f t="shared" si="5"/>
        <v>0</v>
      </c>
      <c r="BA15" s="39">
        <f t="shared" si="7"/>
        <v>0</v>
      </c>
      <c r="BB15" s="5">
        <f t="shared" si="6"/>
        <v>0.33333333333333331</v>
      </c>
    </row>
    <row r="16" spans="1:54" ht="18.75" x14ac:dyDescent="0.3">
      <c r="B16" s="43">
        <f t="shared" si="8"/>
        <v>41650</v>
      </c>
      <c r="C16" s="44">
        <f t="shared" si="9"/>
        <v>41650</v>
      </c>
      <c r="D16" s="3"/>
      <c r="E16" s="62"/>
      <c r="F16" s="62"/>
      <c r="G16" s="62"/>
      <c r="H16" s="62"/>
      <c r="I16" s="62" t="str">
        <f t="shared" ca="1" si="0"/>
        <v/>
      </c>
      <c r="J16" s="52">
        <f>IF(AND(Feiertage!$G$2&lt;&gt;"ja",AV16=1),IF(AZ16&gt;0,BB16+AZ16,BB16),IF(AZ16=0,0, IF(I16&lt;&gt;"",AZ16-I16,AZ16)))+AX16</f>
        <v>0</v>
      </c>
      <c r="K16" s="62">
        <f>IF(AV16=0,BB16,IF(Feiertage!$G$2="ja","00:00",BB16))</f>
        <v>0.33333333333333331</v>
      </c>
      <c r="L16" s="52">
        <f t="shared" ca="1" si="1"/>
        <v>-0.33333333333333331</v>
      </c>
      <c r="M16" s="50" t="str">
        <f>IF(AV16=1,AU16,IF(LOWER(AW16)=LOWER(Urlaub!$W$19),Urlaub!$S$19,
IF(LOWER(AW16)=LOWER(Urlaub!$W$20),Urlaub!$S$20,
IF(LOWER(AW16)=LOWER(Urlaub!$W$21),Urlaub!$S$21,
IF(LOWER(AW16)=LOWER(Urlaub!$W$22),Urlaub!$S$22,
IF(LOWER(AW16)=LOWER(Urlaub!$W$23),Urlaub!$S$23,
IF(LOWER(AW16)=LOWER(Urlaub!$W$24),Urlaub!$S$24,""))))))&amp;IF(AND(EXACT(LOWER(AW16),AW16),AW16&lt;&gt;0)," 1/2",""))</f>
        <v/>
      </c>
      <c r="N16" s="53">
        <f t="shared" si="2"/>
        <v>0</v>
      </c>
      <c r="P16" s="155"/>
      <c r="Q16" s="156"/>
      <c r="R16" s="156"/>
      <c r="S16" s="156"/>
      <c r="T16" s="156"/>
      <c r="U16" s="156"/>
      <c r="V16" s="157"/>
      <c r="AU16" t="str">
        <f>IF(AV16=1,VLOOKUP($B16,Feiertage!$B$2:$D$49,3,FALSE),"")</f>
        <v/>
      </c>
      <c r="AV16">
        <f>IF(IFERROR(MATCH($B16,Feiertage!$B$2:$B$49,0)&gt;0,0),1,0)</f>
        <v>0</v>
      </c>
      <c r="AW16" s="22">
        <f>IFERROR(HLOOKUP(DAY(B16),Urlaub!$C$4:$AG$16,MONTH(B16)+1,FALSE),0)</f>
        <v>0</v>
      </c>
      <c r="AX16" s="38">
        <f t="shared" si="3"/>
        <v>0</v>
      </c>
      <c r="AY16" s="7">
        <f t="shared" si="4"/>
        <v>2.0833333333333301E-2</v>
      </c>
      <c r="AZ16" s="5">
        <f t="shared" si="5"/>
        <v>0</v>
      </c>
      <c r="BA16" s="39">
        <f t="shared" si="7"/>
        <v>0</v>
      </c>
      <c r="BB16" s="5">
        <f t="shared" si="6"/>
        <v>0.33333333333333331</v>
      </c>
    </row>
    <row r="17" spans="2:54" ht="18.75" x14ac:dyDescent="0.3">
      <c r="B17" s="43">
        <f t="shared" si="8"/>
        <v>41651</v>
      </c>
      <c r="C17" s="44">
        <f t="shared" si="9"/>
        <v>41651</v>
      </c>
      <c r="D17" s="3"/>
      <c r="E17" s="62"/>
      <c r="F17" s="62"/>
      <c r="G17" s="62"/>
      <c r="H17" s="62"/>
      <c r="I17" s="62" t="str">
        <f t="shared" ca="1" si="0"/>
        <v/>
      </c>
      <c r="J17" s="52">
        <f>IF(AND(Feiertage!$G$2&lt;&gt;"ja",AV17=1),IF(AZ17&gt;0,BB17+AZ17,BB17),IF(AZ17=0,0, IF(I17&lt;&gt;"",AZ17-I17,AZ17)))+AX17</f>
        <v>0</v>
      </c>
      <c r="K17" s="62">
        <f>IF(AV17=0,BB17,IF(Feiertage!$G$2="ja","00:00",BB17))</f>
        <v>0</v>
      </c>
      <c r="L17" s="52" t="str">
        <f t="shared" ca="1" si="1"/>
        <v/>
      </c>
      <c r="M17" s="50" t="str">
        <f>IF(AV17=1,AU17,IF(LOWER(AW17)=LOWER(Urlaub!$W$19),Urlaub!$S$19,
IF(LOWER(AW17)=LOWER(Urlaub!$W$20),Urlaub!$S$20,
IF(LOWER(AW17)=LOWER(Urlaub!$W$21),Urlaub!$S$21,
IF(LOWER(AW17)=LOWER(Urlaub!$W$22),Urlaub!$S$22,
IF(LOWER(AW17)=LOWER(Urlaub!$W$23),Urlaub!$S$23,
IF(LOWER(AW17)=LOWER(Urlaub!$W$24),Urlaub!$S$24,""))))))&amp;IF(AND(EXACT(LOWER(AW17),AW17),AW17&lt;&gt;0)," 1/2",""))</f>
        <v/>
      </c>
      <c r="N17" s="53">
        <f t="shared" si="2"/>
        <v>0</v>
      </c>
      <c r="P17" s="158"/>
      <c r="Q17" s="159"/>
      <c r="R17" s="159"/>
      <c r="S17" s="159"/>
      <c r="T17" s="159"/>
      <c r="U17" s="159"/>
      <c r="V17" s="160"/>
      <c r="AU17" t="str">
        <f>IF(AV17=1,VLOOKUP($B17,Feiertage!$B$2:$D$49,3,FALSE),"")</f>
        <v/>
      </c>
      <c r="AV17">
        <f>IF(IFERROR(MATCH($B17,Feiertage!$B$2:$B$49,0)&gt;0,0),1,0)</f>
        <v>0</v>
      </c>
      <c r="AW17" s="22">
        <f>IFERROR(HLOOKUP(DAY(B17),Urlaub!$C$4:$AG$16,MONTH(B17)+1,FALSE),0)</f>
        <v>0</v>
      </c>
      <c r="AX17" s="38">
        <f t="shared" ref="AX17:AX35" si="10">IFERROR(IF(OR(AW17=0,AW17="G"),0,IF(EXACT(LOWER(AW17),AW17),0.5*BB17,BB17)),"")</f>
        <v>0</v>
      </c>
      <c r="AY17" s="7">
        <f t="shared" si="4"/>
        <v>2.0833333333333301E-2</v>
      </c>
      <c r="AZ17" s="5">
        <f t="shared" si="5"/>
        <v>0</v>
      </c>
      <c r="BA17" s="39">
        <f t="shared" si="7"/>
        <v>0</v>
      </c>
      <c r="BB17" s="5">
        <f t="shared" si="6"/>
        <v>0</v>
      </c>
    </row>
    <row r="18" spans="2:54" ht="19.5" thickBot="1" x14ac:dyDescent="0.35">
      <c r="B18" s="43">
        <f t="shared" si="8"/>
        <v>41652</v>
      </c>
      <c r="C18" s="44">
        <f t="shared" si="9"/>
        <v>41652</v>
      </c>
      <c r="D18" s="3"/>
      <c r="E18" s="62"/>
      <c r="F18" s="62"/>
      <c r="G18" s="62"/>
      <c r="H18" s="62"/>
      <c r="I18" s="62" t="str">
        <f t="shared" ca="1" si="0"/>
        <v/>
      </c>
      <c r="J18" s="52">
        <f>IF(AND(Feiertage!$G$2&lt;&gt;"ja",AV18=1),IF(AZ18&gt;0,BB18+AZ18,BB18),IF(AZ18=0,0, IF(I18&lt;&gt;"",AZ18-I18,AZ18)))+AX18</f>
        <v>0</v>
      </c>
      <c r="K18" s="62">
        <f>IF(AV18=0,BB18,IF(Feiertage!$G$2="ja","00:00",BB18))</f>
        <v>0</v>
      </c>
      <c r="L18" s="52" t="str">
        <f t="shared" ca="1" si="1"/>
        <v/>
      </c>
      <c r="M18" s="50" t="str">
        <f>IF(AV18=1,AU18,IF(LOWER(AW18)=LOWER(Urlaub!$W$19),Urlaub!$S$19,
IF(LOWER(AW18)=LOWER(Urlaub!$W$20),Urlaub!$S$20,
IF(LOWER(AW18)=LOWER(Urlaub!$W$21),Urlaub!$S$21,
IF(LOWER(AW18)=LOWER(Urlaub!$W$22),Urlaub!$S$22,
IF(LOWER(AW18)=LOWER(Urlaub!$W$23),Urlaub!$S$23,
IF(LOWER(AW18)=LOWER(Urlaub!$W$24),Urlaub!$S$24,""))))))&amp;IF(AND(EXACT(LOWER(AW18),AW18),AW18&lt;&gt;0)," 1/2",""))</f>
        <v/>
      </c>
      <c r="N18" s="53">
        <f t="shared" si="2"/>
        <v>0</v>
      </c>
      <c r="P18" s="161"/>
      <c r="Q18" s="162"/>
      <c r="R18" s="162"/>
      <c r="S18" s="162"/>
      <c r="T18" s="162"/>
      <c r="U18" s="162"/>
      <c r="V18" s="163"/>
      <c r="AU18" t="str">
        <f>IF(AV18=1,VLOOKUP($B18,Feiertage!$B$2:$D$49,3,FALSE),"")</f>
        <v/>
      </c>
      <c r="AV18">
        <f>IF(IFERROR(MATCH($B18,Feiertage!$B$2:$B$49,0)&gt;0,0),1,0)</f>
        <v>0</v>
      </c>
      <c r="AW18" s="22">
        <f>IFERROR(HLOOKUP(DAY(B18),Urlaub!$C$4:$AG$16,MONTH(B18)+1,FALSE),0)</f>
        <v>0</v>
      </c>
      <c r="AX18" s="38">
        <f t="shared" si="10"/>
        <v>0</v>
      </c>
      <c r="AY18" s="7">
        <f t="shared" si="4"/>
        <v>2.0833333333333301E-2</v>
      </c>
      <c r="AZ18" s="5">
        <f t="shared" si="5"/>
        <v>0</v>
      </c>
      <c r="BA18" s="39">
        <f t="shared" si="7"/>
        <v>0</v>
      </c>
      <c r="BB18" s="5">
        <f t="shared" si="6"/>
        <v>0</v>
      </c>
    </row>
    <row r="19" spans="2:54" ht="18.75" x14ac:dyDescent="0.3">
      <c r="B19" s="43">
        <f t="shared" si="8"/>
        <v>41653</v>
      </c>
      <c r="C19" s="44">
        <f t="shared" si="9"/>
        <v>41653</v>
      </c>
      <c r="D19" s="3"/>
      <c r="E19" s="62"/>
      <c r="F19" s="62"/>
      <c r="G19" s="62"/>
      <c r="H19" s="62"/>
      <c r="I19" s="62" t="str">
        <f t="shared" ca="1" si="0"/>
        <v/>
      </c>
      <c r="J19" s="52">
        <f>IF(AND(Feiertage!$G$2&lt;&gt;"ja",AV19=1),IF(AZ19&gt;0,BB19+AZ19,BB19),IF(AZ19=0,0, IF(I19&lt;&gt;"",AZ19-I19,AZ19)))+AX19</f>
        <v>0</v>
      </c>
      <c r="K19" s="62">
        <f>IF(AV19=0,BB19,IF(Feiertage!$G$2="ja","00:00",BB19))</f>
        <v>0.33333333333333331</v>
      </c>
      <c r="L19" s="52">
        <f ca="1">IF(OR(B19&lt;=TODAY(),J19,AW19="G"),IF(J19&lt;&gt;"",IF(J19-K19=0,"",J19-K19),IF(K19&lt;&gt;"",-K19,"")),"")</f>
        <v>-0.33333333333333331</v>
      </c>
      <c r="M19" s="50" t="str">
        <f>IF(AV19=1,AU19,IF(LOWER(AW19)=LOWER(Urlaub!$W$19),Urlaub!$S$19,
IF(LOWER(AW19)=LOWER(Urlaub!$W$20),Urlaub!$S$20,
IF(LOWER(AW19)=LOWER(Urlaub!$W$21),Urlaub!$S$21,
IF(LOWER(AW19)=LOWER(Urlaub!$W$22),Urlaub!$S$22,
IF(LOWER(AW19)=LOWER(Urlaub!$W$23),Urlaub!$S$23,
IF(LOWER(AW19)=LOWER(Urlaub!$W$24),Urlaub!$S$24,""))))))&amp;IF(AND(EXACT(LOWER(AW19),AW19),AW19&lt;&gt;0)," 1/2",""))</f>
        <v/>
      </c>
      <c r="N19" s="53">
        <f t="shared" si="2"/>
        <v>0</v>
      </c>
      <c r="AU19" t="str">
        <f>IF(AV19=1,VLOOKUP($B19,Feiertage!$B$2:$D$49,3,FALSE),"")</f>
        <v/>
      </c>
      <c r="AV19">
        <f>IF(IFERROR(MATCH($B19,Feiertage!$B$2:$B$49,0)&gt;0,0),1,0)</f>
        <v>0</v>
      </c>
      <c r="AW19" s="22">
        <f>IFERROR(HLOOKUP(DAY(B19),Urlaub!$C$4:$AG$16,MONTH(B19)+1,FALSE),0)</f>
        <v>0</v>
      </c>
      <c r="AX19" s="38">
        <f>IFERROR(IF(OR(AW19=0,AW19="G"),0,IF(EXACT(LOWER(AW19),AW19),0.5*BB19,BB19)),"")</f>
        <v>0</v>
      </c>
      <c r="AY19" s="7">
        <f t="shared" si="4"/>
        <v>2.0833333333333332E-2</v>
      </c>
      <c r="AZ19" s="5">
        <f t="shared" si="5"/>
        <v>0</v>
      </c>
      <c r="BA19" s="39">
        <f t="shared" si="7"/>
        <v>0</v>
      </c>
      <c r="BB19" s="5">
        <f t="shared" si="6"/>
        <v>0.33333333333333331</v>
      </c>
    </row>
    <row r="20" spans="2:54" ht="18.75" x14ac:dyDescent="0.3">
      <c r="B20" s="43">
        <f t="shared" si="8"/>
        <v>41654</v>
      </c>
      <c r="C20" s="44">
        <f t="shared" si="9"/>
        <v>41654</v>
      </c>
      <c r="D20" s="3"/>
      <c r="E20" s="62"/>
      <c r="F20" s="62"/>
      <c r="G20" s="62"/>
      <c r="H20" s="62"/>
      <c r="I20" s="62" t="str">
        <f t="shared" ca="1" si="0"/>
        <v/>
      </c>
      <c r="J20" s="52">
        <f>IF(AND(Feiertage!$G$2&lt;&gt;"ja",AV20=1),IF(AZ20&gt;0,BB20+AZ20,BB20),IF(AZ20=0,0, IF(I20&lt;&gt;"",AZ20-I20,AZ20)))+AX20</f>
        <v>0</v>
      </c>
      <c r="K20" s="62">
        <f>IF(AV20=0,BB20,IF(Feiertage!$G$2="ja","00:00",BB20))</f>
        <v>0.33333333333333331</v>
      </c>
      <c r="L20" s="52">
        <f t="shared" ref="L20:L35" ca="1" si="11">IF(OR(B20&lt;=TODAY(),J20,AW20="G"),IF(J20&lt;&gt;"",IF(J20-K20=0,"",J20-K20),IF(K20&lt;&gt;"",-K20,"")),"")</f>
        <v>-0.33333333333333331</v>
      </c>
      <c r="M20" s="50" t="str">
        <f>IF(AV20=1,AU20,IF(LOWER(AW20)=LOWER(Urlaub!$W$19),Urlaub!$S$19,
IF(LOWER(AW20)=LOWER(Urlaub!$W$20),Urlaub!$S$20,
IF(LOWER(AW20)=LOWER(Urlaub!$W$21),Urlaub!$S$21,
IF(LOWER(AW20)=LOWER(Urlaub!$W$22),Urlaub!$S$22,
IF(LOWER(AW20)=LOWER(Urlaub!$W$23),Urlaub!$S$23,
IF(LOWER(AW20)=LOWER(Urlaub!$W$24),Urlaub!$S$24,""))))))&amp;IF(AND(EXACT(LOWER(AW20),AW20),AW20&lt;&gt;0)," 1/2",""))</f>
        <v/>
      </c>
      <c r="N20" s="53">
        <f t="shared" si="2"/>
        <v>0</v>
      </c>
      <c r="AU20" t="str">
        <f>IF(AV20=1,VLOOKUP($B20,Feiertage!$B$2:$D$49,3,FALSE),"")</f>
        <v/>
      </c>
      <c r="AV20">
        <f>IF(IFERROR(MATCH($B20,Feiertage!$B$2:$B$49,0)&gt;0,0),1,0)</f>
        <v>0</v>
      </c>
      <c r="AW20" s="22">
        <f>IFERROR(HLOOKUP(DAY(B20),Urlaub!$C$4:$AG$16,MONTH(B20)+1,FALSE),0)</f>
        <v>0</v>
      </c>
      <c r="AX20" s="38">
        <f t="shared" si="10"/>
        <v>0</v>
      </c>
      <c r="AY20" s="7">
        <f t="shared" si="4"/>
        <v>2.0833333333333332E-2</v>
      </c>
      <c r="AZ20" s="5">
        <f t="shared" si="5"/>
        <v>0</v>
      </c>
      <c r="BA20" s="39">
        <f t="shared" si="7"/>
        <v>0</v>
      </c>
      <c r="BB20" s="5">
        <f t="shared" si="6"/>
        <v>0.33333333333333331</v>
      </c>
    </row>
    <row r="21" spans="2:54" ht="18.75" x14ac:dyDescent="0.3">
      <c r="B21" s="43">
        <f t="shared" si="8"/>
        <v>41655</v>
      </c>
      <c r="C21" s="44">
        <f t="shared" si="9"/>
        <v>41655</v>
      </c>
      <c r="D21" s="3"/>
      <c r="E21" s="62"/>
      <c r="F21" s="62"/>
      <c r="G21" s="62"/>
      <c r="H21" s="62"/>
      <c r="I21" s="62" t="str">
        <f t="shared" ca="1" si="0"/>
        <v/>
      </c>
      <c r="J21" s="52">
        <f>IF(AND(Feiertage!$G$2&lt;&gt;"ja",AV21=1),IF(AZ21&gt;0,BB21+AZ21,BB21),IF(AZ21=0,0, IF(I21&lt;&gt;"",AZ21-I21,AZ21)))+AX21</f>
        <v>0</v>
      </c>
      <c r="K21" s="62">
        <f>IF(AV21=0,BB21,IF(Feiertage!$G$2="ja","00:00",BB21))</f>
        <v>0.33333333333333331</v>
      </c>
      <c r="L21" s="52">
        <f t="shared" ca="1" si="11"/>
        <v>-0.33333333333333331</v>
      </c>
      <c r="M21" s="50" t="str">
        <f>IF(AV21=1,AU21,IF(LOWER(AW21)=LOWER(Urlaub!$W$19),Urlaub!$S$19,
IF(LOWER(AW21)=LOWER(Urlaub!$W$20),Urlaub!$S$20,
IF(LOWER(AW21)=LOWER(Urlaub!$W$21),Urlaub!$S$21,
IF(LOWER(AW21)=LOWER(Urlaub!$W$22),Urlaub!$S$22,
IF(LOWER(AW21)=LOWER(Urlaub!$W$23),Urlaub!$S$23,
IF(LOWER(AW21)=LOWER(Urlaub!$W$24),Urlaub!$S$24,""))))))&amp;IF(AND(EXACT(LOWER(AW21),AW21),AW21&lt;&gt;0)," 1/2",""))</f>
        <v/>
      </c>
      <c r="N21" s="53">
        <f t="shared" si="2"/>
        <v>0</v>
      </c>
      <c r="AU21" t="str">
        <f>IF(AV21=1,VLOOKUP($B21,Feiertage!$B$2:$D$49,3,FALSE),"")</f>
        <v/>
      </c>
      <c r="AV21">
        <f>IF(IFERROR(MATCH($B21,Feiertage!$B$2:$B$49,0)&gt;0,0),1,0)</f>
        <v>0</v>
      </c>
      <c r="AW21" s="22">
        <f>IFERROR(HLOOKUP(DAY(B21),Urlaub!$C$4:$AG$16,MONTH(B21)+1,FALSE),0)</f>
        <v>0</v>
      </c>
      <c r="AX21" s="38">
        <f t="shared" si="10"/>
        <v>0</v>
      </c>
      <c r="AY21" s="7">
        <f t="shared" si="4"/>
        <v>2.0833333333333301E-2</v>
      </c>
      <c r="AZ21" s="5">
        <f t="shared" si="5"/>
        <v>0</v>
      </c>
      <c r="BA21" s="39">
        <f t="shared" si="7"/>
        <v>0</v>
      </c>
      <c r="BB21" s="5">
        <f t="shared" si="6"/>
        <v>0.33333333333333331</v>
      </c>
    </row>
    <row r="22" spans="2:54" ht="18.75" x14ac:dyDescent="0.3">
      <c r="B22" s="43">
        <f t="shared" si="8"/>
        <v>41656</v>
      </c>
      <c r="C22" s="44">
        <f t="shared" si="9"/>
        <v>41656</v>
      </c>
      <c r="D22" s="3"/>
      <c r="E22" s="62"/>
      <c r="F22" s="62"/>
      <c r="G22" s="62"/>
      <c r="H22" s="62"/>
      <c r="I22" s="62" t="str">
        <f t="shared" ca="1" si="0"/>
        <v/>
      </c>
      <c r="J22" s="52">
        <f>IF(AND(Feiertage!$G$2&lt;&gt;"ja",AV22=1),IF(AZ22&gt;0,BB22+AZ22,BB22),IF(AZ22=0,0, IF(I22&lt;&gt;"",AZ22-I22,AZ22)))+AX22</f>
        <v>0</v>
      </c>
      <c r="K22" s="62">
        <f>IF(AV22=0,BB22,IF(Feiertage!$G$2="ja","00:00",BB22))</f>
        <v>0.33333333333333331</v>
      </c>
      <c r="L22" s="52">
        <f t="shared" ca="1" si="11"/>
        <v>-0.33333333333333331</v>
      </c>
      <c r="M22" s="50" t="str">
        <f>IF(AV22=1,AU22,IF(LOWER(AW22)=LOWER(Urlaub!$W$19),Urlaub!$S$19,
IF(LOWER(AW22)=LOWER(Urlaub!$W$20),Urlaub!$S$20,
IF(LOWER(AW22)=LOWER(Urlaub!$W$21),Urlaub!$S$21,
IF(LOWER(AW22)=LOWER(Urlaub!$W$22),Urlaub!$S$22,
IF(LOWER(AW22)=LOWER(Urlaub!$W$23),Urlaub!$S$23,
IF(LOWER(AW22)=LOWER(Urlaub!$W$24),Urlaub!$S$24,""))))))&amp;IF(AND(EXACT(LOWER(AW22),AW22),AW22&lt;&gt;0)," 1/2",""))</f>
        <v/>
      </c>
      <c r="N22" s="53">
        <f t="shared" si="2"/>
        <v>0</v>
      </c>
      <c r="AU22" t="str">
        <f>IF(AV22=1,VLOOKUP($B22,Feiertage!$B$2:$D$49,3,FALSE),"")</f>
        <v/>
      </c>
      <c r="AV22">
        <f>IF(IFERROR(MATCH($B22,Feiertage!$B$2:$B$49,0)&gt;0,0),1,0)</f>
        <v>0</v>
      </c>
      <c r="AW22" s="22">
        <f>IFERROR(HLOOKUP(DAY(B22),Urlaub!$C$4:$AG$16,MONTH(B22)+1,FALSE),0)</f>
        <v>0</v>
      </c>
      <c r="AX22" s="38">
        <f t="shared" si="10"/>
        <v>0</v>
      </c>
      <c r="AY22" s="7">
        <f t="shared" si="4"/>
        <v>2.0833333333333301E-2</v>
      </c>
      <c r="AZ22" s="5">
        <f t="shared" si="5"/>
        <v>0</v>
      </c>
      <c r="BA22" s="39">
        <f t="shared" si="7"/>
        <v>0</v>
      </c>
      <c r="BB22" s="5">
        <f t="shared" si="6"/>
        <v>0.33333333333333331</v>
      </c>
    </row>
    <row r="23" spans="2:54" ht="18.75" x14ac:dyDescent="0.3">
      <c r="B23" s="43">
        <f t="shared" si="8"/>
        <v>41657</v>
      </c>
      <c r="C23" s="44">
        <f t="shared" si="9"/>
        <v>41657</v>
      </c>
      <c r="D23" s="3"/>
      <c r="E23" s="62"/>
      <c r="F23" s="62"/>
      <c r="G23" s="62"/>
      <c r="H23" s="62"/>
      <c r="I23" s="62" t="str">
        <f t="shared" ca="1" si="0"/>
        <v/>
      </c>
      <c r="J23" s="52">
        <f>IF(AND(Feiertage!$G$2&lt;&gt;"ja",AV23=1),IF(AZ23&gt;0,BB23+AZ23,BB23),IF(AZ23=0,0, IF(I23&lt;&gt;"",AZ23-I23,AZ23)))+AX23</f>
        <v>0</v>
      </c>
      <c r="K23" s="62">
        <f>IF(AV23=0,BB23,IF(Feiertage!$G$2="ja","00:00",BB23))</f>
        <v>0.33333333333333331</v>
      </c>
      <c r="L23" s="52">
        <f t="shared" ca="1" si="11"/>
        <v>-0.33333333333333331</v>
      </c>
      <c r="M23" s="50" t="str">
        <f>IF(AV23=1,AU23,IF(LOWER(AW23)=LOWER(Urlaub!$W$19),Urlaub!$S$19,
IF(LOWER(AW23)=LOWER(Urlaub!$W$20),Urlaub!$S$20,
IF(LOWER(AW23)=LOWER(Urlaub!$W$21),Urlaub!$S$21,
IF(LOWER(AW23)=LOWER(Urlaub!$W$22),Urlaub!$S$22,
IF(LOWER(AW23)=LOWER(Urlaub!$W$23),Urlaub!$S$23,
IF(LOWER(AW23)=LOWER(Urlaub!$W$24),Urlaub!$S$24,""))))))&amp;IF(AND(EXACT(LOWER(AW23),AW23),AW23&lt;&gt;0)," 1/2",""))</f>
        <v/>
      </c>
      <c r="N23" s="53">
        <f t="shared" si="2"/>
        <v>0</v>
      </c>
      <c r="AU23" t="str">
        <f>IF(AV23=1,VLOOKUP($B23,Feiertage!$B$2:$D$49,3,FALSE),"")</f>
        <v/>
      </c>
      <c r="AV23">
        <f>IF(IFERROR(MATCH($B23,Feiertage!$B$2:$B$49,0)&gt;0,0),1,0)</f>
        <v>0</v>
      </c>
      <c r="AW23" s="22">
        <f>IFERROR(HLOOKUP(DAY(B23),Urlaub!$C$4:$AG$16,MONTH(B23)+1,FALSE),0)</f>
        <v>0</v>
      </c>
      <c r="AX23" s="38">
        <f>IFERROR(IF(OR(AW23=0,AW23="G"),0,IF(EXACT(LOWER(AW23),AW23),0.5*BB23,BB23)),"")</f>
        <v>0</v>
      </c>
      <c r="AY23" s="7">
        <f t="shared" si="4"/>
        <v>2.0833333333333301E-2</v>
      </c>
      <c r="AZ23" s="5">
        <f t="shared" si="5"/>
        <v>0</v>
      </c>
      <c r="BA23" s="39">
        <f t="shared" si="7"/>
        <v>0</v>
      </c>
      <c r="BB23" s="5">
        <f t="shared" si="6"/>
        <v>0.33333333333333331</v>
      </c>
    </row>
    <row r="24" spans="2:54" ht="18.75" x14ac:dyDescent="0.3">
      <c r="B24" s="43">
        <f t="shared" si="8"/>
        <v>41658</v>
      </c>
      <c r="C24" s="44">
        <f t="shared" si="9"/>
        <v>41658</v>
      </c>
      <c r="D24" s="3"/>
      <c r="E24" s="62"/>
      <c r="F24" s="62"/>
      <c r="G24" s="62"/>
      <c r="H24" s="62"/>
      <c r="I24" s="62" t="str">
        <f t="shared" ca="1" si="0"/>
        <v/>
      </c>
      <c r="J24" s="52">
        <f>IF(AND(Feiertage!$G$2&lt;&gt;"ja",AV24=1),IF(AZ24&gt;0,BB24+AZ24,BB24),IF(AZ24=0,0, IF(I24&lt;&gt;"",AZ24-I24,AZ24)))+AX24</f>
        <v>0</v>
      </c>
      <c r="K24" s="62">
        <f>IF(AV24=0,BB24,IF(Feiertage!$G$2="ja","00:00",BB24))</f>
        <v>0</v>
      </c>
      <c r="L24" s="52" t="str">
        <f t="shared" ca="1" si="11"/>
        <v/>
      </c>
      <c r="M24" s="50" t="str">
        <f>IF(AV24=1,AU24,IF(LOWER(AW24)=LOWER(Urlaub!$W$19),Urlaub!$S$19,
IF(LOWER(AW24)=LOWER(Urlaub!$W$20),Urlaub!$S$20,
IF(LOWER(AW24)=LOWER(Urlaub!$W$21),Urlaub!$S$21,
IF(LOWER(AW24)=LOWER(Urlaub!$W$22),Urlaub!$S$22,
IF(LOWER(AW24)=LOWER(Urlaub!$W$23),Urlaub!$S$23,
IF(LOWER(AW24)=LOWER(Urlaub!$W$24),Urlaub!$S$24,""))))))&amp;IF(AND(EXACT(LOWER(AW24),AW24),AW24&lt;&gt;0)," 1/2",""))</f>
        <v/>
      </c>
      <c r="N24" s="53">
        <f t="shared" si="2"/>
        <v>0</v>
      </c>
      <c r="AU24" t="str">
        <f>IF(AV24=1,VLOOKUP($B24,Feiertage!$B$2:$D$49,3,FALSE),"")</f>
        <v/>
      </c>
      <c r="AV24">
        <f>IF(IFERROR(MATCH($B24,Feiertage!$B$2:$B$49,0)&gt;0,0),1,0)</f>
        <v>0</v>
      </c>
      <c r="AW24" s="22">
        <f>IFERROR(HLOOKUP(DAY(B24),Urlaub!$C$4:$AG$16,MONTH(B24)+1,FALSE),0)</f>
        <v>0</v>
      </c>
      <c r="AX24" s="38">
        <f t="shared" si="10"/>
        <v>0</v>
      </c>
      <c r="AY24" s="7">
        <f t="shared" si="4"/>
        <v>2.0833333333333301E-2</v>
      </c>
      <c r="AZ24" s="5">
        <f t="shared" si="5"/>
        <v>0</v>
      </c>
      <c r="BA24" s="39">
        <f t="shared" si="7"/>
        <v>0</v>
      </c>
      <c r="BB24" s="5">
        <f t="shared" si="6"/>
        <v>0</v>
      </c>
    </row>
    <row r="25" spans="2:54" ht="18.75" x14ac:dyDescent="0.3">
      <c r="B25" s="43">
        <f t="shared" si="8"/>
        <v>41659</v>
      </c>
      <c r="C25" s="44">
        <f t="shared" si="9"/>
        <v>41659</v>
      </c>
      <c r="D25" s="3"/>
      <c r="E25" s="62"/>
      <c r="F25" s="62"/>
      <c r="G25" s="62"/>
      <c r="H25" s="62"/>
      <c r="I25" s="62" t="str">
        <f t="shared" ca="1" si="0"/>
        <v/>
      </c>
      <c r="J25" s="52">
        <f>IF(AND(Feiertage!$G$2&lt;&gt;"ja",AV25=1),IF(AZ25&gt;0,BB25+AZ25,BB25),IF(AZ25=0,0, IF(I25&lt;&gt;"",AZ25-I25,AZ25)))+AX25</f>
        <v>0</v>
      </c>
      <c r="K25" s="62">
        <f>IF(AV25=0,BB25,IF(Feiertage!$G$2="ja","00:00",BB25))</f>
        <v>0</v>
      </c>
      <c r="L25" s="52" t="str">
        <f t="shared" ca="1" si="11"/>
        <v/>
      </c>
      <c r="M25" s="50" t="str">
        <f>IF(AV25=1,AU25,IF(LOWER(AW25)=LOWER(Urlaub!$W$19),Urlaub!$S$19,
IF(LOWER(AW25)=LOWER(Urlaub!$W$20),Urlaub!$S$20,
IF(LOWER(AW25)=LOWER(Urlaub!$W$21),Urlaub!$S$21,
IF(LOWER(AW25)=LOWER(Urlaub!$W$22),Urlaub!$S$22,
IF(LOWER(AW25)=LOWER(Urlaub!$W$23),Urlaub!$S$23,
IF(LOWER(AW25)=LOWER(Urlaub!$W$24),Urlaub!$S$24,""))))))&amp;IF(AND(EXACT(LOWER(AW25),AW25),AW25&lt;&gt;0)," 1/2",""))</f>
        <v/>
      </c>
      <c r="N25" s="53">
        <f t="shared" si="2"/>
        <v>0</v>
      </c>
      <c r="AU25" t="str">
        <f>IF(AV25=1,VLOOKUP($B25,Feiertage!$B$2:$D$49,3,FALSE),"")</f>
        <v/>
      </c>
      <c r="AV25">
        <f>IF(IFERROR(MATCH($B25,Feiertage!$B$2:$B$49,0)&gt;0,0),1,0)</f>
        <v>0</v>
      </c>
      <c r="AW25" s="22">
        <f>IFERROR(HLOOKUP(DAY(B25),Urlaub!$C$4:$AG$16,MONTH(B25)+1,FALSE),0)</f>
        <v>0</v>
      </c>
      <c r="AX25" s="38">
        <f t="shared" si="10"/>
        <v>0</v>
      </c>
      <c r="AY25" s="7">
        <f t="shared" si="4"/>
        <v>2.0833333333333301E-2</v>
      </c>
      <c r="AZ25" s="5">
        <f t="shared" si="5"/>
        <v>0</v>
      </c>
      <c r="BA25" s="39">
        <f t="shared" si="7"/>
        <v>0</v>
      </c>
      <c r="BB25" s="5">
        <f t="shared" si="6"/>
        <v>0</v>
      </c>
    </row>
    <row r="26" spans="2:54" ht="18.75" x14ac:dyDescent="0.3">
      <c r="B26" s="43">
        <f t="shared" si="8"/>
        <v>41660</v>
      </c>
      <c r="C26" s="44">
        <f t="shared" si="9"/>
        <v>41660</v>
      </c>
      <c r="D26" s="3"/>
      <c r="E26" s="62"/>
      <c r="F26" s="62"/>
      <c r="G26" s="62"/>
      <c r="H26" s="62"/>
      <c r="I26" s="62" t="str">
        <f t="shared" ca="1" si="0"/>
        <v/>
      </c>
      <c r="J26" s="52">
        <f>IF(AND(Feiertage!$G$2&lt;&gt;"ja",AV26=1),IF(AZ26&gt;0,BB26+AZ26,BB26),IF(AZ26=0,0, IF(I26&lt;&gt;"",AZ26-I26,AZ26)))+AX26</f>
        <v>0</v>
      </c>
      <c r="K26" s="62">
        <f>IF(AV26=0,BB26,IF(Feiertage!$G$2="ja","00:00",BB26))</f>
        <v>0.33333333333333331</v>
      </c>
      <c r="L26" s="52">
        <f t="shared" ca="1" si="11"/>
        <v>-0.33333333333333331</v>
      </c>
      <c r="M26" s="50" t="str">
        <f>IF(AV26=1,AU26,IF(LOWER(AW26)=LOWER(Urlaub!$W$19),Urlaub!$S$19,
IF(LOWER(AW26)=LOWER(Urlaub!$W$20),Urlaub!$S$20,
IF(LOWER(AW26)=LOWER(Urlaub!$W$21),Urlaub!$S$21,
IF(LOWER(AW26)=LOWER(Urlaub!$W$22),Urlaub!$S$22,
IF(LOWER(AW26)=LOWER(Urlaub!$W$23),Urlaub!$S$23,
IF(LOWER(AW26)=LOWER(Urlaub!$W$24),Urlaub!$S$24,""))))))&amp;IF(AND(EXACT(LOWER(AW26),AW26),AW26&lt;&gt;0)," 1/2",""))</f>
        <v/>
      </c>
      <c r="N26" s="53">
        <f t="shared" si="2"/>
        <v>0</v>
      </c>
      <c r="AU26" t="str">
        <f>IF(AV26=1,VLOOKUP($B26,Feiertage!$B$2:$D$49,3,FALSE),"")</f>
        <v/>
      </c>
      <c r="AV26">
        <f>IF(IFERROR(MATCH($B26,Feiertage!$B$2:$B$49,0)&gt;0,0),1,0)</f>
        <v>0</v>
      </c>
      <c r="AW26" s="22">
        <f>IFERROR(HLOOKUP(DAY(B26),Urlaub!$C$4:$AG$16,MONTH(B26)+1,FALSE),0)</f>
        <v>0</v>
      </c>
      <c r="AX26" s="38">
        <f t="shared" si="10"/>
        <v>0</v>
      </c>
      <c r="AY26" s="7">
        <f t="shared" si="4"/>
        <v>2.0833333333333332E-2</v>
      </c>
      <c r="AZ26" s="5">
        <f t="shared" si="5"/>
        <v>0</v>
      </c>
      <c r="BA26" s="39">
        <f t="shared" si="7"/>
        <v>0</v>
      </c>
      <c r="BB26" s="5">
        <f t="shared" si="6"/>
        <v>0.33333333333333331</v>
      </c>
    </row>
    <row r="27" spans="2:54" ht="18.75" x14ac:dyDescent="0.3">
      <c r="B27" s="43">
        <f t="shared" si="8"/>
        <v>41661</v>
      </c>
      <c r="C27" s="44">
        <f t="shared" si="9"/>
        <v>41661</v>
      </c>
      <c r="D27" s="3"/>
      <c r="E27" s="62"/>
      <c r="F27" s="62"/>
      <c r="G27" s="62"/>
      <c r="H27" s="62"/>
      <c r="I27" s="62" t="str">
        <f t="shared" ca="1" si="0"/>
        <v/>
      </c>
      <c r="J27" s="52">
        <f>IF(AND(Feiertage!$G$2&lt;&gt;"ja",AV27=1),IF(AZ27&gt;0,BB27+AZ27,BB27),IF(AZ27=0,0, IF(I27&lt;&gt;"",AZ27-I27,AZ27)))+AX27</f>
        <v>0</v>
      </c>
      <c r="K27" s="62">
        <f>IF(AV27=0,BB27,IF(Feiertage!$G$2="ja","00:00",BB27))</f>
        <v>0.33333333333333331</v>
      </c>
      <c r="L27" s="52">
        <f t="shared" ca="1" si="11"/>
        <v>-0.33333333333333331</v>
      </c>
      <c r="M27" s="50" t="str">
        <f>IF(AV27=1,AU27,IF(LOWER(AW27)=LOWER(Urlaub!$W$19),Urlaub!$S$19,
IF(LOWER(AW27)=LOWER(Urlaub!$W$20),Urlaub!$S$20,
IF(LOWER(AW27)=LOWER(Urlaub!$W$21),Urlaub!$S$21,
IF(LOWER(AW27)=LOWER(Urlaub!$W$22),Urlaub!$S$22,
IF(LOWER(AW27)=LOWER(Urlaub!$W$23),Urlaub!$S$23,
IF(LOWER(AW27)=LOWER(Urlaub!$W$24),Urlaub!$S$24,""))))))&amp;IF(AND(EXACT(LOWER(AW27),AW27),AW27&lt;&gt;0)," 1/2",""))</f>
        <v/>
      </c>
      <c r="N27" s="53">
        <f t="shared" si="2"/>
        <v>0</v>
      </c>
      <c r="AU27" t="str">
        <f>IF(AV27=1,VLOOKUP($B27,Feiertage!$B$2:$D$49,3,FALSE),"")</f>
        <v/>
      </c>
      <c r="AV27">
        <f>IF(IFERROR(MATCH($B27,Feiertage!$B$2:$B$49,0)&gt;0,0),1,0)</f>
        <v>0</v>
      </c>
      <c r="AW27" s="22">
        <f>IFERROR(HLOOKUP(DAY(B27),Urlaub!$C$4:$AG$16,MONTH(B27)+1,FALSE),0)</f>
        <v>0</v>
      </c>
      <c r="AX27" s="38">
        <f t="shared" si="10"/>
        <v>0</v>
      </c>
      <c r="AY27" s="7">
        <f t="shared" si="4"/>
        <v>2.0833333333333332E-2</v>
      </c>
      <c r="AZ27" s="5">
        <f t="shared" si="5"/>
        <v>0</v>
      </c>
      <c r="BA27" s="39">
        <f t="shared" si="7"/>
        <v>0</v>
      </c>
      <c r="BB27" s="5">
        <f t="shared" si="6"/>
        <v>0.33333333333333331</v>
      </c>
    </row>
    <row r="28" spans="2:54" ht="18.75" x14ac:dyDescent="0.3">
      <c r="B28" s="43">
        <f t="shared" si="8"/>
        <v>41662</v>
      </c>
      <c r="C28" s="44">
        <f t="shared" si="9"/>
        <v>41662</v>
      </c>
      <c r="D28" s="3"/>
      <c r="E28" s="62"/>
      <c r="F28" s="62"/>
      <c r="G28" s="62"/>
      <c r="H28" s="62"/>
      <c r="I28" s="62" t="str">
        <f t="shared" ca="1" si="0"/>
        <v/>
      </c>
      <c r="J28" s="52">
        <f>IF(AND(Feiertage!$G$2&lt;&gt;"ja",AV28=1),IF(AZ28&gt;0,BB28+AZ28,BB28),IF(AZ28=0,0, IF(I28&lt;&gt;"",AZ28-I28,AZ28)))+AX28</f>
        <v>0</v>
      </c>
      <c r="K28" s="62">
        <f>IF(AV28=0,BB28,IF(Feiertage!$G$2="ja","00:00",BB28))</f>
        <v>0.33333333333333331</v>
      </c>
      <c r="L28" s="52">
        <f t="shared" ca="1" si="11"/>
        <v>-0.33333333333333331</v>
      </c>
      <c r="M28" s="50" t="str">
        <f>IF(AV28=1,AU28,IF(LOWER(AW28)=LOWER(Urlaub!$W$19),Urlaub!$S$19,
IF(LOWER(AW28)=LOWER(Urlaub!$W$20),Urlaub!$S$20,
IF(LOWER(AW28)=LOWER(Urlaub!$W$21),Urlaub!$S$21,
IF(LOWER(AW28)=LOWER(Urlaub!$W$22),Urlaub!$S$22,
IF(LOWER(AW28)=LOWER(Urlaub!$W$23),Urlaub!$S$23,
IF(LOWER(AW28)=LOWER(Urlaub!$W$24),Urlaub!$S$24,""))))))&amp;IF(AND(EXACT(LOWER(AW28),AW28),AW28&lt;&gt;0)," 1/2",""))</f>
        <v/>
      </c>
      <c r="N28" s="53">
        <f t="shared" si="2"/>
        <v>0</v>
      </c>
      <c r="AU28" t="str">
        <f>IF(AV28=1,VLOOKUP($B28,Feiertage!$B$2:$D$49,3,FALSE),"")</f>
        <v/>
      </c>
      <c r="AV28">
        <f>IF(IFERROR(MATCH($B28,Feiertage!$B$2:$B$49,0)&gt;0,0),1,0)</f>
        <v>0</v>
      </c>
      <c r="AW28" s="22">
        <f>IFERROR(HLOOKUP(DAY(B28),Urlaub!$C$4:$AG$16,MONTH(B28)+1,FALSE),0)</f>
        <v>0</v>
      </c>
      <c r="AX28" s="38">
        <f t="shared" si="10"/>
        <v>0</v>
      </c>
      <c r="AY28" s="7">
        <f t="shared" si="4"/>
        <v>2.0833333333333301E-2</v>
      </c>
      <c r="AZ28" s="5">
        <f t="shared" si="5"/>
        <v>0</v>
      </c>
      <c r="BA28" s="39">
        <f t="shared" si="7"/>
        <v>0</v>
      </c>
      <c r="BB28" s="5">
        <f t="shared" si="6"/>
        <v>0.33333333333333331</v>
      </c>
    </row>
    <row r="29" spans="2:54" ht="18.75" x14ac:dyDescent="0.3">
      <c r="B29" s="43">
        <f t="shared" si="8"/>
        <v>41663</v>
      </c>
      <c r="C29" s="44">
        <f t="shared" si="9"/>
        <v>41663</v>
      </c>
      <c r="D29" s="3"/>
      <c r="E29" s="62"/>
      <c r="F29" s="62"/>
      <c r="G29" s="62"/>
      <c r="H29" s="62"/>
      <c r="I29" s="62" t="str">
        <f t="shared" ca="1" si="0"/>
        <v/>
      </c>
      <c r="J29" s="52">
        <f>IF(AND(Feiertage!$G$2&lt;&gt;"ja",AV29=1),IF(AZ29&gt;0,BB29+AZ29,BB29),IF(AZ29=0,0, IF(I29&lt;&gt;"",AZ29-I29,AZ29)))+AX29</f>
        <v>0</v>
      </c>
      <c r="K29" s="62">
        <f>IF(AV29=0,BB29,IF(Feiertage!$G$2="ja","00:00",BB29))</f>
        <v>0.33333333333333331</v>
      </c>
      <c r="L29" s="52">
        <f t="shared" ca="1" si="11"/>
        <v>-0.33333333333333331</v>
      </c>
      <c r="M29" s="50" t="str">
        <f>IF(AV29=1,AU29,IF(LOWER(AW29)=LOWER(Urlaub!$W$19),Urlaub!$S$19,
IF(LOWER(AW29)=LOWER(Urlaub!$W$20),Urlaub!$S$20,
IF(LOWER(AW29)=LOWER(Urlaub!$W$21),Urlaub!$S$21,
IF(LOWER(AW29)=LOWER(Urlaub!$W$22),Urlaub!$S$22,
IF(LOWER(AW29)=LOWER(Urlaub!$W$23),Urlaub!$S$23,
IF(LOWER(AW29)=LOWER(Urlaub!$W$24),Urlaub!$S$24,""))))))&amp;IF(AND(EXACT(LOWER(AW29),AW29),AW29&lt;&gt;0)," 1/2",""))</f>
        <v/>
      </c>
      <c r="N29" s="53">
        <f t="shared" si="2"/>
        <v>0</v>
      </c>
      <c r="AU29" t="str">
        <f>IF(AV29=1,VLOOKUP($B29,Feiertage!$B$2:$D$49,3,FALSE),"")</f>
        <v/>
      </c>
      <c r="AV29">
        <f>IF(IFERROR(MATCH($B29,Feiertage!$B$2:$B$49,0)&gt;0,0),1,0)</f>
        <v>0</v>
      </c>
      <c r="AW29" s="22">
        <f>IFERROR(HLOOKUP(DAY(B29),Urlaub!$C$4:$AG$16,MONTH(B29)+1,FALSE),0)</f>
        <v>0</v>
      </c>
      <c r="AX29" s="38">
        <f t="shared" si="10"/>
        <v>0</v>
      </c>
      <c r="AY29" s="7">
        <f t="shared" si="4"/>
        <v>2.0833333333333301E-2</v>
      </c>
      <c r="AZ29" s="5">
        <f t="shared" si="5"/>
        <v>0</v>
      </c>
      <c r="BA29" s="39">
        <f t="shared" si="7"/>
        <v>0</v>
      </c>
      <c r="BB29" s="5">
        <f t="shared" si="6"/>
        <v>0.33333333333333331</v>
      </c>
    </row>
    <row r="30" spans="2:54" ht="18.75" x14ac:dyDescent="0.3">
      <c r="B30" s="43">
        <f t="shared" si="8"/>
        <v>41664</v>
      </c>
      <c r="C30" s="44">
        <f t="shared" si="9"/>
        <v>41664</v>
      </c>
      <c r="D30" s="3"/>
      <c r="E30" s="62"/>
      <c r="F30" s="62"/>
      <c r="G30" s="62"/>
      <c r="H30" s="62"/>
      <c r="I30" s="62" t="str">
        <f t="shared" ca="1" si="0"/>
        <v/>
      </c>
      <c r="J30" s="52">
        <f>IF(AND(Feiertage!$G$2&lt;&gt;"ja",AV30=1),IF(AZ30&gt;0,BB30+AZ30,BB30),IF(AZ30=0,0, IF(I30&lt;&gt;"",AZ30-I30,AZ30)))+AX30</f>
        <v>0</v>
      </c>
      <c r="K30" s="62">
        <f>IF(AV30=0,BB30,IF(Feiertage!$G$2="ja","00:00",BB30))</f>
        <v>0.33333333333333331</v>
      </c>
      <c r="L30" s="52">
        <f t="shared" ca="1" si="11"/>
        <v>-0.33333333333333331</v>
      </c>
      <c r="M30" s="50" t="str">
        <f>IF(AV30=1,AU30,IF(LOWER(AW30)=LOWER(Urlaub!$W$19),Urlaub!$S$19,
IF(LOWER(AW30)=LOWER(Urlaub!$W$20),Urlaub!$S$20,
IF(LOWER(AW30)=LOWER(Urlaub!$W$21),Urlaub!$S$21,
IF(LOWER(AW30)=LOWER(Urlaub!$W$22),Urlaub!$S$22,
IF(LOWER(AW30)=LOWER(Urlaub!$W$23),Urlaub!$S$23,
IF(LOWER(AW30)=LOWER(Urlaub!$W$24),Urlaub!$S$24,""))))))&amp;IF(AND(EXACT(LOWER(AW30),AW30),AW30&lt;&gt;0)," 1/2",""))</f>
        <v/>
      </c>
      <c r="N30" s="53">
        <f t="shared" si="2"/>
        <v>0</v>
      </c>
      <c r="AU30" t="str">
        <f>IF(AV30=1,VLOOKUP($B30,Feiertage!$B$2:$D$49,3,FALSE),"")</f>
        <v/>
      </c>
      <c r="AV30">
        <f>IF(IFERROR(MATCH($B30,Feiertage!$B$2:$B$49,0)&gt;0,0),1,0)</f>
        <v>0</v>
      </c>
      <c r="AW30" s="22">
        <f>IFERROR(HLOOKUP(DAY(B30),Urlaub!$C$4:$AG$16,MONTH(B30)+1,FALSE),0)</f>
        <v>0</v>
      </c>
      <c r="AX30" s="38">
        <f t="shared" si="10"/>
        <v>0</v>
      </c>
      <c r="AY30" s="7">
        <f t="shared" si="4"/>
        <v>2.0833333333333301E-2</v>
      </c>
      <c r="AZ30" s="5">
        <f t="shared" si="5"/>
        <v>0</v>
      </c>
      <c r="BA30" s="39">
        <f t="shared" si="7"/>
        <v>0</v>
      </c>
      <c r="BB30" s="5">
        <f t="shared" si="6"/>
        <v>0.33333333333333331</v>
      </c>
    </row>
    <row r="31" spans="2:54" ht="18.75" x14ac:dyDescent="0.3">
      <c r="B31" s="43">
        <f t="shared" si="8"/>
        <v>41665</v>
      </c>
      <c r="C31" s="44">
        <f t="shared" si="9"/>
        <v>41665</v>
      </c>
      <c r="D31" s="3"/>
      <c r="E31" s="62"/>
      <c r="F31" s="62"/>
      <c r="G31" s="62"/>
      <c r="H31" s="62"/>
      <c r="I31" s="62" t="str">
        <f t="shared" ca="1" si="0"/>
        <v/>
      </c>
      <c r="J31" s="52">
        <f>IF(AND(Feiertage!$G$2&lt;&gt;"ja",AV31=1),IF(AZ31&gt;0,BB31+AZ31,BB31),IF(AZ31=0,0, IF(I31&lt;&gt;"",AZ31-I31,AZ31)))+AX31</f>
        <v>0</v>
      </c>
      <c r="K31" s="62">
        <f>IF(AV31=0,BB31,IF(Feiertage!$G$2="ja","00:00",BB31))</f>
        <v>0</v>
      </c>
      <c r="L31" s="52" t="str">
        <f t="shared" ca="1" si="11"/>
        <v/>
      </c>
      <c r="M31" s="50" t="str">
        <f>IF(AV31=1,AU31,IF(LOWER(AW31)=LOWER(Urlaub!$W$19),Urlaub!$S$19,
IF(LOWER(AW31)=LOWER(Urlaub!$W$20),Urlaub!$S$20,
IF(LOWER(AW31)=LOWER(Urlaub!$W$21),Urlaub!$S$21,
IF(LOWER(AW31)=LOWER(Urlaub!$W$22),Urlaub!$S$22,
IF(LOWER(AW31)=LOWER(Urlaub!$W$23),Urlaub!$S$23,
IF(LOWER(AW31)=LOWER(Urlaub!$W$24),Urlaub!$S$24,""))))))&amp;IF(AND(EXACT(LOWER(AW31),AW31),AW31&lt;&gt;0)," 1/2",""))</f>
        <v/>
      </c>
      <c r="N31" s="53">
        <f t="shared" si="2"/>
        <v>0</v>
      </c>
      <c r="AU31" t="str">
        <f>IF(AV31=1,VLOOKUP($B31,Feiertage!$B$2:$D$49,3,FALSE),"")</f>
        <v/>
      </c>
      <c r="AV31">
        <f>IF(IFERROR(MATCH($B31,Feiertage!$B$2:$B$49,0)&gt;0,0),1,0)</f>
        <v>0</v>
      </c>
      <c r="AW31" s="22">
        <f>IFERROR(HLOOKUP(DAY(B31),Urlaub!$C$4:$AG$16,MONTH(B31)+1,FALSE),0)</f>
        <v>0</v>
      </c>
      <c r="AX31" s="38">
        <f t="shared" si="10"/>
        <v>0</v>
      </c>
      <c r="AY31" s="7">
        <f t="shared" si="4"/>
        <v>2.0833333333333301E-2</v>
      </c>
      <c r="AZ31" s="5">
        <f t="shared" si="5"/>
        <v>0</v>
      </c>
      <c r="BA31" s="39">
        <f t="shared" si="7"/>
        <v>0</v>
      </c>
      <c r="BB31" s="5">
        <f t="shared" si="6"/>
        <v>0</v>
      </c>
    </row>
    <row r="32" spans="2:54" ht="18.75" x14ac:dyDescent="0.3">
      <c r="B32" s="43">
        <f t="shared" si="8"/>
        <v>41666</v>
      </c>
      <c r="C32" s="44">
        <f t="shared" si="9"/>
        <v>41666</v>
      </c>
      <c r="D32" s="3"/>
      <c r="E32" s="62"/>
      <c r="F32" s="62"/>
      <c r="G32" s="62"/>
      <c r="H32" s="62"/>
      <c r="I32" s="62" t="str">
        <f t="shared" ca="1" si="0"/>
        <v/>
      </c>
      <c r="J32" s="52">
        <f>IF(AND(Feiertage!$G$2&lt;&gt;"ja",AV32=1),IF(AZ32&gt;0,BB32+AZ32,BB32),IF(AZ32=0,0, IF(I32&lt;&gt;"",AZ32-I32,AZ32)))+AX32</f>
        <v>0</v>
      </c>
      <c r="K32" s="62">
        <f>IF(AV32=0,BB32,IF(Feiertage!$G$2="ja","00:00",BB32))</f>
        <v>0</v>
      </c>
      <c r="L32" s="52" t="str">
        <f t="shared" ca="1" si="11"/>
        <v/>
      </c>
      <c r="M32" s="50" t="str">
        <f>IF(AV32=1,AU32,IF(LOWER(AW32)=LOWER(Urlaub!$W$19),Urlaub!$S$19,
IF(LOWER(AW32)=LOWER(Urlaub!$W$20),Urlaub!$S$20,
IF(LOWER(AW32)=LOWER(Urlaub!$W$21),Urlaub!$S$21,
IF(LOWER(AW32)=LOWER(Urlaub!$W$22),Urlaub!$S$22,
IF(LOWER(AW32)=LOWER(Urlaub!$W$23),Urlaub!$S$23,
IF(LOWER(AW32)=LOWER(Urlaub!$W$24),Urlaub!$S$24,""))))))&amp;IF(AND(EXACT(LOWER(AW32),AW32),AW32&lt;&gt;0)," 1/2",""))</f>
        <v/>
      </c>
      <c r="N32" s="53">
        <f t="shared" si="2"/>
        <v>0</v>
      </c>
      <c r="AU32" t="str">
        <f>IF(AV32=1,VLOOKUP($B32,Feiertage!$B$2:$D$49,3,FALSE),"")</f>
        <v/>
      </c>
      <c r="AV32">
        <f>IF(IFERROR(MATCH($B32,Feiertage!$B$2:$B$49,0)&gt;0,0),1,0)</f>
        <v>0</v>
      </c>
      <c r="AW32" s="22">
        <f>IFERROR(HLOOKUP(DAY(B32),Urlaub!$C$4:$AG$16,MONTH(B32)+1,FALSE),0)</f>
        <v>0</v>
      </c>
      <c r="AX32" s="38">
        <f t="shared" si="10"/>
        <v>0</v>
      </c>
      <c r="AY32" s="7">
        <f t="shared" si="4"/>
        <v>2.0833333333333301E-2</v>
      </c>
      <c r="AZ32" s="5">
        <f t="shared" si="5"/>
        <v>0</v>
      </c>
      <c r="BA32" s="39">
        <f t="shared" si="7"/>
        <v>0</v>
      </c>
      <c r="BB32" s="5">
        <f t="shared" si="6"/>
        <v>0</v>
      </c>
    </row>
    <row r="33" spans="2:54" ht="18.75" x14ac:dyDescent="0.3">
      <c r="B33" s="43">
        <f>IF(B32&lt;&gt;"",IF(MONTH($B$1)&lt;MONTH(B32+1),"",B32+1),"")</f>
        <v>41667</v>
      </c>
      <c r="C33" s="44">
        <f t="shared" si="9"/>
        <v>41667</v>
      </c>
      <c r="D33" s="3"/>
      <c r="E33" s="62"/>
      <c r="F33" s="62"/>
      <c r="G33" s="62"/>
      <c r="H33" s="62"/>
      <c r="I33" s="62" t="str">
        <f t="shared" ca="1" si="0"/>
        <v/>
      </c>
      <c r="J33" s="52">
        <f>IF(B33&lt;&gt;"",IF(AND(Feiertage!$G$2&lt;&gt;"ja",AV33=1),IF(AZ33&gt;0,BB33+AZ33,BB33),IF(AZ33=0,0, IF(I33&lt;&gt;"",AZ33-I33,AZ33)))+AX33,"")</f>
        <v>0</v>
      </c>
      <c r="K33" s="62">
        <f>IF(B33&lt;&gt;"",IF(AV33=0,BB33,IF(Feiertage!$G$2="ja","00:00",BB33)),"")</f>
        <v>0.33333333333333331</v>
      </c>
      <c r="L33" s="52">
        <f t="shared" ca="1" si="11"/>
        <v>-0.33333333333333331</v>
      </c>
      <c r="M33" s="50" t="str">
        <f>IF(AV33=1,AU33,IF(LOWER(AW33)=LOWER(Urlaub!$W$19),Urlaub!$S$19,
IF(LOWER(AW33)=LOWER(Urlaub!$W$20),Urlaub!$S$20,
IF(LOWER(AW33)=LOWER(Urlaub!$W$21),Urlaub!$S$21,
IF(LOWER(AW33)=LOWER(Urlaub!$W$22),Urlaub!$S$22,
IF(LOWER(AW33)=LOWER(Urlaub!$W$23),Urlaub!$S$23,
IF(LOWER(AW33)=LOWER(Urlaub!$W$24),Urlaub!$S$24,""))))))&amp;IF(AND(EXACT(LOWER(AW33),AW33),AW33&lt;&gt;0)," 1/2",""))</f>
        <v/>
      </c>
      <c r="N33" s="53">
        <f>IF(J33&lt;&gt;"",24*J33*IF(WEEKDAY(C33)=WEEKDAY($P$6),$S$6,
IF(WEEKDAY(C33)=WEEKDAY($P$7),$S$7,
IF(WEEKDAY(C33)=WEEKDAY($P$8),$S$8,
IF(WEEKDAY(C33)=WEEKDAY($P$9),$S$9,
IF(WEEKDAY(C33)=WEEKDAY($P$10),$S$10,
IF(WEEKDAY(C33)=WEEKDAY($P$11),$S$11,
IF(WEEKDAY(C33)=WEEKDAY($P$12),$S$12,""))))))),"")</f>
        <v>0</v>
      </c>
      <c r="AU33" t="str">
        <f>IF(AV33=1,VLOOKUP($B33,Feiertage!$B$2:$D$49,3,FALSE),"")</f>
        <v/>
      </c>
      <c r="AV33">
        <f>IF(IFERROR(MATCH($B33,Feiertage!$B$2:$B$49,0)&gt;0,0),1,0)</f>
        <v>0</v>
      </c>
      <c r="AW33" s="22">
        <f>IFERROR(HLOOKUP(DAY(B33),Urlaub!$C$4:$AG$16,MONTH(B33)+1,FALSE),0)</f>
        <v>0</v>
      </c>
      <c r="AX33" s="38">
        <f t="shared" si="10"/>
        <v>0</v>
      </c>
      <c r="AY33" s="7">
        <f t="shared" si="4"/>
        <v>2.0833333333333332E-2</v>
      </c>
      <c r="AZ33" s="5">
        <f t="shared" si="5"/>
        <v>0</v>
      </c>
      <c r="BA33" s="39">
        <f t="shared" si="7"/>
        <v>0</v>
      </c>
      <c r="BB33" s="5">
        <f t="shared" si="6"/>
        <v>0.33333333333333331</v>
      </c>
    </row>
    <row r="34" spans="2:54" ht="18.75" x14ac:dyDescent="0.3">
      <c r="B34" s="43">
        <f t="shared" ref="B34:B35" si="12">IF(B33&lt;&gt;"",IF(MONTH($B$1)&lt;MONTH(B33+1),"",B33+1),"")</f>
        <v>41668</v>
      </c>
      <c r="C34" s="44">
        <f t="shared" si="9"/>
        <v>41668</v>
      </c>
      <c r="D34" s="3"/>
      <c r="E34" s="62"/>
      <c r="F34" s="62"/>
      <c r="G34" s="62"/>
      <c r="H34" s="62"/>
      <c r="I34" s="62" t="str">
        <f t="shared" ca="1" si="0"/>
        <v/>
      </c>
      <c r="J34" s="52">
        <f>IF(B34&lt;&gt;"",IF(AND(Feiertage!$G$2&lt;&gt;"ja",AV34=1),IF(AZ34&gt;0,BB34+AZ34,BB34),IF(AZ34=0,0, IF(I34&lt;&gt;"",AZ34-I34,AZ34)))+AX34,"")</f>
        <v>0</v>
      </c>
      <c r="K34" s="62">
        <f>IF(B34&lt;&gt;"",IF(AV34=0,BB34,IF(Feiertage!$G$2="ja","00:00",BB34)),"")</f>
        <v>0.33333333333333331</v>
      </c>
      <c r="L34" s="52">
        <f t="shared" ca="1" si="11"/>
        <v>-0.33333333333333331</v>
      </c>
      <c r="M34" s="50" t="str">
        <f>IF(AV34=1,AU34,IF(LOWER(AW34)=LOWER(Urlaub!$W$19),Urlaub!$S$19,
IF(LOWER(AW34)=LOWER(Urlaub!$W$20),Urlaub!$S$20,
IF(LOWER(AW34)=LOWER(Urlaub!$W$21),Urlaub!$S$21,
IF(LOWER(AW34)=LOWER(Urlaub!$W$22),Urlaub!$S$22,
IF(LOWER(AW34)=LOWER(Urlaub!$W$23),Urlaub!$S$23,
IF(LOWER(AW34)=LOWER(Urlaub!$W$24),Urlaub!$S$24,""))))))&amp;IF(AND(EXACT(LOWER(AW34),AW34),AW34&lt;&gt;0)," 1/2",""))</f>
        <v/>
      </c>
      <c r="N34" s="53">
        <f>IF(J34&lt;&gt;"",24*J34*IF(WEEKDAY(C34)=WEEKDAY($P$6),$S$6,
IF(WEEKDAY(C34)=WEEKDAY($P$7),$S$7,
IF(WEEKDAY(C34)=WEEKDAY($P$8),$S$8,
IF(WEEKDAY(C34)=WEEKDAY($P$9),$S$9,
IF(WEEKDAY(C34)=WEEKDAY($P$10),$S$10,
IF(WEEKDAY(C34)=WEEKDAY($P$11),$S$11,
IF(WEEKDAY(C34)=WEEKDAY($P$12),$S$12,""))))))),"")</f>
        <v>0</v>
      </c>
      <c r="AU34" t="str">
        <f>IF(AV34=1,VLOOKUP($B34,Feiertage!$B$2:$D$49,3,FALSE),"")</f>
        <v/>
      </c>
      <c r="AV34">
        <f>IF(IFERROR(MATCH($B34,Feiertage!$B$2:$B$49,0)&gt;0,0),1,0)</f>
        <v>0</v>
      </c>
      <c r="AW34" s="22">
        <f>IFERROR(HLOOKUP(DAY(B34),Urlaub!$C$4:$AG$16,MONTH(B34)+1,FALSE),0)</f>
        <v>0</v>
      </c>
      <c r="AX34" s="38">
        <f t="shared" si="10"/>
        <v>0</v>
      </c>
      <c r="AY34" s="7">
        <f t="shared" si="4"/>
        <v>2.0833333333333332E-2</v>
      </c>
      <c r="AZ34" s="5">
        <f t="shared" si="5"/>
        <v>0</v>
      </c>
      <c r="BA34" s="39">
        <f t="shared" si="7"/>
        <v>0</v>
      </c>
      <c r="BB34" s="5">
        <f t="shared" si="6"/>
        <v>0.33333333333333331</v>
      </c>
    </row>
    <row r="35" spans="2:54" ht="19.5" thickBot="1" x14ac:dyDescent="0.35">
      <c r="B35" s="70">
        <f t="shared" si="12"/>
        <v>41669</v>
      </c>
      <c r="C35" s="71">
        <f t="shared" si="9"/>
        <v>41669</v>
      </c>
      <c r="D35" s="72"/>
      <c r="E35" s="62"/>
      <c r="F35" s="62"/>
      <c r="G35" s="73"/>
      <c r="H35" s="74"/>
      <c r="I35" s="74" t="str">
        <f t="shared" ca="1" si="0"/>
        <v/>
      </c>
      <c r="J35" s="76">
        <f>IF(B35&lt;&gt;"",IF(AND(Feiertage!$G$2&lt;&gt;"ja",AV35=1),IF(AZ35&gt;0,BB35+AZ35,BB35),IF(AZ35=0,0, IF(I35&lt;&gt;"",AZ35-I35,AZ35)))+AX35,"")</f>
        <v>0</v>
      </c>
      <c r="K35" s="73">
        <f>IF(B35&lt;&gt;"",IF(AV35=0,BB35,IF(Feiertage!$G$2="ja","00:00",BB35)),"")</f>
        <v>0.33333333333333331</v>
      </c>
      <c r="L35" s="52">
        <f t="shared" ca="1" si="11"/>
        <v>-0.33333333333333331</v>
      </c>
      <c r="M35" s="50" t="str">
        <f>IF(AV35=1,AU35,IF(LOWER(AW35)=LOWER(Urlaub!$W$19),Urlaub!$S$19,
IF(LOWER(AW35)=LOWER(Urlaub!$W$20),Urlaub!$S$20,
IF(LOWER(AW35)=LOWER(Urlaub!$W$21),Urlaub!$S$21,
IF(LOWER(AW35)=LOWER(Urlaub!$W$22),Urlaub!$S$22,
IF(LOWER(AW35)=LOWER(Urlaub!$W$23),Urlaub!$S$23,
IF(LOWER(AW35)=LOWER(Urlaub!$W$24),Urlaub!$S$24,""))))))&amp;IF(AND(EXACT(LOWER(AW35),AW35),AW35&lt;&gt;0)," 1/2",""))</f>
        <v/>
      </c>
      <c r="N35" s="77">
        <f>IF(J35&lt;&gt;"",24*J35*IF(WEEKDAY(C35)=WEEKDAY($P$6),$S$6,
IF(WEEKDAY(C35)=WEEKDAY($P$7),$S$7,
IF(WEEKDAY(C35)=WEEKDAY($P$8),$S$8,
IF(WEEKDAY(C35)=WEEKDAY($P$9),$S$9,
IF(WEEKDAY(C35)=WEEKDAY($P$10),$S$10,
IF(WEEKDAY(C35)=WEEKDAY($P$11),$S$11,
IF(WEEKDAY(C35)=WEEKDAY($P$12),$S$12,""))))))),"")</f>
        <v>0</v>
      </c>
      <c r="AU35" t="str">
        <f>IF(AV35=1,VLOOKUP($B35,Feiertage!$B$2:$D$49,3,FALSE),"")</f>
        <v/>
      </c>
      <c r="AV35">
        <f>IF(IFERROR(MATCH($B35,Feiertage!$B$2:$B$49,0)&gt;0,0),1,0)</f>
        <v>0</v>
      </c>
      <c r="AW35" s="22">
        <f>IFERROR(HLOOKUP(DAY(B35),Urlaub!$C$4:$AG$16,MONTH(B35)+1,FALSE),0)</f>
        <v>0</v>
      </c>
      <c r="AX35" s="38">
        <f t="shared" si="10"/>
        <v>0</v>
      </c>
      <c r="AY35" s="7">
        <f t="shared" si="4"/>
        <v>2.0833333333333301E-2</v>
      </c>
      <c r="AZ35" s="5">
        <f t="shared" si="5"/>
        <v>0</v>
      </c>
      <c r="BA35" s="39">
        <f t="shared" si="7"/>
        <v>0</v>
      </c>
      <c r="BB35" s="5">
        <f t="shared" si="6"/>
        <v>0.33333333333333331</v>
      </c>
    </row>
    <row r="36" spans="2:54" ht="5.25" customHeight="1" thickTop="1" thickBot="1" x14ac:dyDescent="0.3">
      <c r="B36" s="1"/>
      <c r="H36" s="75"/>
      <c r="I36" s="75"/>
      <c r="J36" s="75"/>
      <c r="K36" s="2"/>
      <c r="L36" s="75"/>
    </row>
    <row r="37" spans="2:54" ht="24" thickBot="1" x14ac:dyDescent="0.4">
      <c r="B37" s="139" t="s">
        <v>74</v>
      </c>
      <c r="C37" s="140"/>
      <c r="D37" s="140"/>
      <c r="E37" s="140"/>
      <c r="F37" s="140"/>
      <c r="G37" s="140"/>
      <c r="H37" s="140"/>
      <c r="I37" s="141"/>
      <c r="J37" s="47">
        <f>SUM(J5:J35)</f>
        <v>0.33333333333333331</v>
      </c>
      <c r="K37" s="47">
        <f t="shared" ref="K37" si="13">SUM(K5:K35)</f>
        <v>7.6666666666666634</v>
      </c>
      <c r="L37" s="47">
        <f ca="1">SUM(L5:L35)</f>
        <v>-7.3333333333333304</v>
      </c>
      <c r="M37" s="47">
        <f>SUM(AX5:AX35)</f>
        <v>0</v>
      </c>
      <c r="N37" s="48">
        <f t="shared" ref="N37" si="14">SUM(N5:N35)</f>
        <v>0</v>
      </c>
    </row>
    <row r="38" spans="2:54" x14ac:dyDescent="0.25">
      <c r="B38" s="1"/>
    </row>
    <row r="39" spans="2:54" x14ac:dyDescent="0.25">
      <c r="B39" s="1"/>
    </row>
  </sheetData>
  <sheetProtection algorithmName="SHA-512" hashValue="5khEcGpaWRObFzcHmA7pss1CiVOO7RETXdV7Q6Q02xoah/ppNP7yFToeSMoYwo39F0itxxrB/yntvLhIzeieHQ==" saltValue="96cJliqJilb9hoMPlijmQw==" spinCount="100000" sheet="1" selectLockedCells="1"/>
  <customSheetViews>
    <customSheetView guid="{4652D98A-10A8-4A41-BE02-6BC110D8BB01}" showPageBreaks="1" showGridLines="0" fitToPage="1">
      <pane xSplit="4" ySplit="4" topLeftCell="E10" activePane="bottomRight" state="frozen"/>
      <selection pane="bottomRight" sqref="A1:H38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orientation="portrait" r:id="rId1"/>
    </customSheetView>
  </customSheetViews>
  <mergeCells count="7">
    <mergeCell ref="B37:I37"/>
    <mergeCell ref="B1:N1"/>
    <mergeCell ref="E3:H3"/>
    <mergeCell ref="U4:V4"/>
    <mergeCell ref="P4:S4"/>
    <mergeCell ref="P15:V15"/>
    <mergeCell ref="P16:V18"/>
  </mergeCells>
  <conditionalFormatting sqref="B5:N35">
    <cfRule type="expression" dxfId="39" priority="2" stopIfTrue="1">
      <formula>WEEKDAY($B5,2)&gt;5</formula>
    </cfRule>
  </conditionalFormatting>
  <printOptions horizontalCentered="1" verticalCentered="1"/>
  <pageMargins left="0.25" right="0.25" top="0.75" bottom="0.75" header="0.3" footer="0.3"/>
  <pageSetup paperSize="9" scale="75" fitToWidth="0" fitToHeight="0" orientation="portrait" r:id="rId2"/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405C0E5-AFB5-4A2F-B19B-AE9ECD12DCB5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B5:N35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B39"/>
  <sheetViews>
    <sheetView showGridLines="0" workbookViewId="0">
      <pane xSplit="4" ySplit="4" topLeftCell="E5" activePane="bottomRight" state="frozen"/>
      <selection activeCell="B1" sqref="B1:N1"/>
      <selection pane="topRight" activeCell="B1" sqref="B1:N1"/>
      <selection pane="bottomLeft" activeCell="B1" sqref="B1:N1"/>
      <selection pane="bottomRight" activeCell="E5" sqref="E5"/>
    </sheetView>
  </sheetViews>
  <sheetFormatPr baseColWidth="10" defaultRowHeight="15" x14ac:dyDescent="0.25"/>
  <cols>
    <col min="1" max="1" width="2.28515625" customWidth="1"/>
    <col min="2" max="2" width="8.85546875" customWidth="1"/>
    <col min="3" max="3" width="7.28515625" customWidth="1"/>
    <col min="4" max="4" width="1" customWidth="1"/>
    <col min="5" max="8" width="7.7109375" customWidth="1"/>
    <col min="9" max="9" width="8" customWidth="1"/>
    <col min="10" max="10" width="12.42578125" customWidth="1"/>
    <col min="11" max="11" width="12.140625" customWidth="1"/>
    <col min="12" max="12" width="12.85546875" customWidth="1"/>
    <col min="13" max="13" width="34" bestFit="1" customWidth="1"/>
    <col min="14" max="14" width="17.85546875" customWidth="1"/>
    <col min="15" max="15" width="4.28515625" customWidth="1"/>
    <col min="16" max="16" width="18.7109375" customWidth="1"/>
    <col min="17" max="17" width="12.28515625" customWidth="1"/>
    <col min="18" max="18" width="11.140625" customWidth="1"/>
    <col min="19" max="19" width="15.7109375" customWidth="1"/>
    <col min="20" max="20" width="4.140625" customWidth="1"/>
    <col min="21" max="21" width="29.140625" customWidth="1"/>
    <col min="22" max="22" width="16" customWidth="1"/>
    <col min="47" max="55" width="13.7109375" customWidth="1"/>
  </cols>
  <sheetData>
    <row r="1" spans="1:54" ht="24.75" customHeight="1" thickBot="1" x14ac:dyDescent="0.5">
      <c r="A1" s="117">
        <v>41639</v>
      </c>
      <c r="B1" s="142">
        <f>EDATE(Januar!$A$1,9)</f>
        <v>41912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54" s="21" customFormat="1" ht="24.75" customHeight="1" thickBot="1" x14ac:dyDescent="0.5">
      <c r="B2" s="59"/>
      <c r="C2" s="59"/>
      <c r="D2" s="59"/>
      <c r="E2" s="60"/>
      <c r="F2" s="60"/>
      <c r="G2" s="60"/>
      <c r="H2" s="60"/>
      <c r="I2" s="59"/>
      <c r="J2" s="59"/>
      <c r="K2" s="59"/>
      <c r="L2" s="59"/>
      <c r="M2" s="59"/>
      <c r="N2" s="59"/>
    </row>
    <row r="3" spans="1:54" ht="19.5" thickBot="1" x14ac:dyDescent="0.35">
      <c r="B3" s="58"/>
      <c r="C3" s="58"/>
      <c r="D3" s="58"/>
      <c r="E3" s="145" t="s">
        <v>0</v>
      </c>
      <c r="F3" s="146"/>
      <c r="G3" s="146"/>
      <c r="H3" s="147"/>
      <c r="I3" s="58"/>
      <c r="J3" s="58"/>
      <c r="K3" s="58"/>
      <c r="L3" s="58"/>
      <c r="M3" s="58"/>
      <c r="N3" s="58"/>
      <c r="O3" s="2"/>
    </row>
    <row r="4" spans="1:54" ht="19.5" thickBot="1" x14ac:dyDescent="0.35">
      <c r="B4" s="41" t="s">
        <v>4</v>
      </c>
      <c r="C4" s="41" t="s">
        <v>5</v>
      </c>
      <c r="D4" s="42"/>
      <c r="E4" s="41" t="s">
        <v>1</v>
      </c>
      <c r="F4" s="41" t="s">
        <v>2</v>
      </c>
      <c r="G4" s="41" t="s">
        <v>1</v>
      </c>
      <c r="H4" s="41" t="s">
        <v>2</v>
      </c>
      <c r="I4" s="41" t="s">
        <v>3</v>
      </c>
      <c r="J4" s="41" t="s">
        <v>7</v>
      </c>
      <c r="K4" s="41" t="s">
        <v>6</v>
      </c>
      <c r="L4" s="41" t="s">
        <v>11</v>
      </c>
      <c r="M4" s="41" t="s">
        <v>56</v>
      </c>
      <c r="N4" s="41" t="s">
        <v>71</v>
      </c>
      <c r="O4" s="20"/>
      <c r="P4" s="150" t="s">
        <v>10</v>
      </c>
      <c r="Q4" s="151"/>
      <c r="R4" s="151"/>
      <c r="S4" s="152"/>
      <c r="U4" s="148" t="s">
        <v>81</v>
      </c>
      <c r="V4" s="149"/>
      <c r="AU4" s="36" t="s">
        <v>46</v>
      </c>
      <c r="AV4" s="36" t="s">
        <v>46</v>
      </c>
      <c r="AW4" s="37" t="s">
        <v>66</v>
      </c>
      <c r="AX4" s="36" t="s">
        <v>67</v>
      </c>
      <c r="AY4" s="6" t="s">
        <v>3</v>
      </c>
      <c r="AZ4" s="36" t="s">
        <v>7</v>
      </c>
      <c r="BA4" s="36" t="s">
        <v>72</v>
      </c>
      <c r="BB4" s="6" t="s">
        <v>6</v>
      </c>
    </row>
    <row r="5" spans="1:54" ht="21.75" thickBot="1" x14ac:dyDescent="0.4">
      <c r="B5" s="45">
        <f>B1</f>
        <v>41912</v>
      </c>
      <c r="C5" s="46">
        <f>B5</f>
        <v>41912</v>
      </c>
      <c r="D5" s="3"/>
      <c r="E5" s="61"/>
      <c r="F5" s="61"/>
      <c r="G5" s="61"/>
      <c r="H5" s="61"/>
      <c r="I5" s="61" t="str">
        <f t="shared" ref="I5:I35" ca="1" si="0">IF(AZ5=0,"",IF(AY5=0,"",IF(OR(B5&lt;=TODAY(),AZ5),AY5,"")))</f>
        <v/>
      </c>
      <c r="J5" s="49">
        <f>IF(AND(Feiertage!$G$2&lt;&gt;"ja",AV5=1),IF(AZ5&gt;0,BB5+AZ5,BB5),IF(AZ5=0,0, IF(I5&lt;&gt;"",AZ5-I5,AZ5)))+AX5</f>
        <v>0</v>
      </c>
      <c r="K5" s="61">
        <f>IF(AV5=0,BB5,IF(Feiertage!$G$2="ja","00:00",BB5))</f>
        <v>0.33333333333333331</v>
      </c>
      <c r="L5" s="52" t="str">
        <f t="shared" ref="L5:L18" ca="1" si="1">IF(OR(B5&lt;=TODAY(),J5,AW5="G"),IF(J5&lt;&gt;"",IF(J5-K5=0,"",J5-K5),IF(K5&lt;&gt;"",-K5,"")),"")</f>
        <v/>
      </c>
      <c r="M5" s="50" t="str">
        <f>IF(AV5=1,AU5,IF(LOWER(AW5)=LOWER(Urlaub!$W$19),Urlaub!$S$19,
IF(LOWER(AW5)=LOWER(Urlaub!$W$20),Urlaub!$S$20,
IF(LOWER(AW5)=LOWER(Urlaub!$W$21),Urlaub!$S$21,
IF(LOWER(AW5)=LOWER(Urlaub!$W$22),Urlaub!$S$22,
IF(LOWER(AW5)=LOWER(Urlaub!$W$23),Urlaub!$S$23,
IF(LOWER(AW5)=LOWER(Urlaub!$W$24),Urlaub!$S$24,""))))))&amp;IF(AND(EXACT(LOWER(AW5),AW5),AW5&lt;&gt;0)," 1/2",""))</f>
        <v/>
      </c>
      <c r="N5" s="51">
        <f t="shared" ref="N5:N32" si="2">24*J5*IF(WEEKDAY(C5)=WEEKDAY($P$6),$S$6,
IF(WEEKDAY(C5)=WEEKDAY($P$7),$S$7,
IF(WEEKDAY(C5)=WEEKDAY($P$8),$S$8,
IF(WEEKDAY(C5)=WEEKDAY($P$9),$S$9,
IF(WEEKDAY(C5)=WEEKDAY($P$10),$S$10,
IF(WEEKDAY(C5)=WEEKDAY($P$11),$S$11,
IF(WEEKDAY(C5)=WEEKDAY($P$12),$S$12,"")))))))</f>
        <v>0</v>
      </c>
      <c r="P5" s="41" t="s">
        <v>8</v>
      </c>
      <c r="Q5" s="41" t="s">
        <v>6</v>
      </c>
      <c r="R5" s="41" t="s">
        <v>3</v>
      </c>
      <c r="S5" s="41" t="s">
        <v>70</v>
      </c>
      <c r="U5" s="112" t="str">
        <f xml:space="preserve"> "Übertrag aus " &amp; IF( MONTH(B1)=1, YEAR(B1)-1, TEXT(EDATE(B1,-1),"MMMM"))</f>
        <v>Übertrag aus September</v>
      </c>
      <c r="V5" s="130">
        <f ca="1">IF(MONTH(B1)&gt;1,INDIRECT(TEXT(EDATE(B1,-1),"MMMM")&amp;"!v10"),"")</f>
        <v>-50.999999999999986</v>
      </c>
      <c r="AU5" t="str">
        <f>IF(AV5=1,VLOOKUP($B5,Feiertage!$B$2:$D$49,3,FALSE),"")</f>
        <v/>
      </c>
      <c r="AV5">
        <f>IF(IFERROR(MATCH($B5,Feiertage!$B$2:$B$49,0)&gt;0,0),1,0)</f>
        <v>0</v>
      </c>
      <c r="AW5" s="22">
        <f>IFERROR(HLOOKUP(DAY(B5),Urlaub!$C$4:$AG$16,MONTH(B5)+1,FALSE),0)</f>
        <v>0</v>
      </c>
      <c r="AX5" s="38">
        <f t="shared" ref="AX5:AX16" si="3">IFERROR(IF(AW5=0,0,IF(EXACT(LOWER(AW5),AW5),0.5*BB5,BB5)),"")</f>
        <v>0</v>
      </c>
      <c r="AY5" s="7">
        <f t="shared" ref="AY5:AY35" si="4">IFERROR(IF(WEEKDAY(C5)=WEEKDAY($P$6),$R$6,
IF(WEEKDAY(C5)=WEEKDAY($P$7),$R$7,
IF(WEEKDAY(C5)=WEEKDAY($P$8),$R$8,
IF(WEEKDAY(C5)=WEEKDAY($P$9),$R$9,
IF(WEEKDAY(C5)=WEEKDAY($P$10),$R$10,
IF(WEEKDAY(C5)=WEEKDAY($P$11),$R$11,
IF(WEEKDAY(C5)=WEEKDAY($P$12),$R$12,""))))))),"")</f>
        <v>2.0833333333333332E-2</v>
      </c>
      <c r="AZ5" s="5">
        <f t="shared" ref="AZ5:AZ35" si="5">IF(F5,IF(E5,IF(E5&gt;F5,F5+"24:00"-E5,F5-E5),0),0)+IF(G5,IF(G5,IF(G5&gt;H5,H5+"24:00"-G5,H5-G5),0),0)</f>
        <v>0</v>
      </c>
      <c r="BA5" s="39">
        <f>AZ5*24</f>
        <v>0</v>
      </c>
      <c r="BB5" s="5">
        <f t="shared" ref="BB5:BB35" si="6">IFERROR(IF(WEEKDAY(C5)=WEEKDAY($P$6),$Q$6,
IF(WEEKDAY(C5)=WEEKDAY($P$7),$Q$7,
IF(WEEKDAY(C5)=WEEKDAY($P$8),$Q$8,
IF(WEEKDAY(C5)=WEEKDAY($P$9),$Q$9,
IF(WEEKDAY(C5)=WEEKDAY($P$10),$Q$10,
IF(WEEKDAY(C5)=WEEKDAY($P$11),$Q$11,
IF(WEEKDAY(C5)=WEEKDAY($P$12),$Q$12,""))))))),"")</f>
        <v>0.33333333333333331</v>
      </c>
    </row>
    <row r="6" spans="1:54" ht="21" x14ac:dyDescent="0.35">
      <c r="B6" s="43">
        <f>B5+1</f>
        <v>41913</v>
      </c>
      <c r="C6" s="44">
        <f>B6</f>
        <v>41913</v>
      </c>
      <c r="D6" s="3"/>
      <c r="E6" s="62"/>
      <c r="F6" s="62"/>
      <c r="G6" s="62"/>
      <c r="H6" s="62"/>
      <c r="I6" s="62" t="str">
        <f t="shared" ca="1" si="0"/>
        <v/>
      </c>
      <c r="J6" s="52">
        <f>IF(AND(Feiertage!$G$2&lt;&gt;"ja",AV6=1),IF(AZ6&gt;0,BB6+AZ6,BB6),IF(AZ6=0,0, IF(I6&lt;&gt;"",AZ6-I6,AZ6)))+AX6</f>
        <v>0</v>
      </c>
      <c r="K6" s="62">
        <f>IF(AV6=0,BB6,IF(Feiertage!$G$2="ja","00:00",BB6))</f>
        <v>0.33333333333333331</v>
      </c>
      <c r="L6" s="52" t="str">
        <f t="shared" ca="1" si="1"/>
        <v/>
      </c>
      <c r="M6" s="50" t="str">
        <f>IF(AV6=1,AU6,IF(LOWER(AW6)=LOWER(Urlaub!$W$19),Urlaub!$S$19,
IF(LOWER(AW6)=LOWER(Urlaub!$W$20),Urlaub!$S$20,
IF(LOWER(AW6)=LOWER(Urlaub!$W$21),Urlaub!$S$21,
IF(LOWER(AW6)=LOWER(Urlaub!$W$22),Urlaub!$S$22,
IF(LOWER(AW6)=LOWER(Urlaub!$W$23),Urlaub!$S$23,
IF(LOWER(AW6)=LOWER(Urlaub!$W$24),Urlaub!$S$24,""))))))&amp;IF(AND(EXACT(LOWER(AW6),AW6),AW6&lt;&gt;0)," 1/2",""))</f>
        <v/>
      </c>
      <c r="N6" s="53">
        <f t="shared" si="2"/>
        <v>0</v>
      </c>
      <c r="P6" s="54">
        <v>41639</v>
      </c>
      <c r="Q6" s="63">
        <v>0.33333333333333331</v>
      </c>
      <c r="R6" s="63">
        <v>2.0833333333333332E-2</v>
      </c>
      <c r="S6" s="64"/>
      <c r="U6" s="114" t="s">
        <v>6</v>
      </c>
      <c r="V6" s="113">
        <f>SUM(K5:K35)</f>
        <v>7.6666666666666634</v>
      </c>
      <c r="AU6" t="str">
        <f>IF(AV6=1,VLOOKUP($B6,Feiertage!$B$2:$D$49,3,FALSE),"")</f>
        <v/>
      </c>
      <c r="AV6">
        <f>IF(IFERROR(MATCH($B6,Feiertage!$B$2:$B$49,0)&gt;0,0),1,0)</f>
        <v>0</v>
      </c>
      <c r="AW6" s="22">
        <f>IFERROR(HLOOKUP(DAY(B6),Urlaub!$C$4:$AG$16,MONTH(B6)+1,FALSE),0)</f>
        <v>0</v>
      </c>
      <c r="AX6" s="38">
        <f t="shared" si="3"/>
        <v>0</v>
      </c>
      <c r="AY6" s="7">
        <f t="shared" si="4"/>
        <v>2.0833333333333332E-2</v>
      </c>
      <c r="AZ6" s="5">
        <f t="shared" si="5"/>
        <v>0</v>
      </c>
      <c r="BA6" s="39">
        <f t="shared" ref="BA6:BA35" si="7">AZ6*24</f>
        <v>0</v>
      </c>
      <c r="BB6" s="5">
        <f t="shared" si="6"/>
        <v>0.33333333333333331</v>
      </c>
    </row>
    <row r="7" spans="1:54" ht="21" x14ac:dyDescent="0.35">
      <c r="B7" s="43">
        <f t="shared" ref="B7:B32" si="8">B6+1</f>
        <v>41914</v>
      </c>
      <c r="C7" s="44">
        <f t="shared" ref="C7:C35" si="9">B7</f>
        <v>41914</v>
      </c>
      <c r="D7" s="3"/>
      <c r="E7" s="62"/>
      <c r="F7" s="62"/>
      <c r="G7" s="62"/>
      <c r="H7" s="62"/>
      <c r="I7" s="62" t="str">
        <f t="shared" ca="1" si="0"/>
        <v/>
      </c>
      <c r="J7" s="52">
        <f>IF(AND(Feiertage!$G$2&lt;&gt;"ja",AV7=1),IF(AZ7&gt;0,BB7+AZ7,BB7),IF(AZ7=0,0, IF(I7&lt;&gt;"",AZ7-I7,AZ7)))+AX7</f>
        <v>0.33333333333333331</v>
      </c>
      <c r="K7" s="62">
        <f>IF(AV7=0,BB7,IF(Feiertage!$G$2="ja","00:00",BB7))</f>
        <v>0.33333333333333331</v>
      </c>
      <c r="L7" s="52" t="str">
        <f t="shared" ca="1" si="1"/>
        <v/>
      </c>
      <c r="M7" s="50" t="str">
        <f>IF(AV7=1,AU7,IF(LOWER(AW7)=LOWER(Urlaub!$W$19),Urlaub!$S$19,
IF(LOWER(AW7)=LOWER(Urlaub!$W$20),Urlaub!$S$20,
IF(LOWER(AW7)=LOWER(Urlaub!$W$21),Urlaub!$S$21,
IF(LOWER(AW7)=LOWER(Urlaub!$W$22),Urlaub!$S$22,
IF(LOWER(AW7)=LOWER(Urlaub!$W$23),Urlaub!$S$23,
IF(LOWER(AW7)=LOWER(Urlaub!$W$24),Urlaub!$S$24,""))))))&amp;IF(AND(EXACT(LOWER(AW7),AW7),AW7&lt;&gt;0)," 1/2",""))</f>
        <v>Tag der deutschen Einheit (D)</v>
      </c>
      <c r="N7" s="53">
        <f t="shared" si="2"/>
        <v>0</v>
      </c>
      <c r="P7" s="55">
        <v>41640</v>
      </c>
      <c r="Q7" s="65">
        <v>0.33333333333333331</v>
      </c>
      <c r="R7" s="63">
        <v>2.0833333333333332E-2</v>
      </c>
      <c r="S7" s="66"/>
      <c r="U7" s="114" t="s">
        <v>7</v>
      </c>
      <c r="V7" s="113">
        <f>SUM(J5:J35)</f>
        <v>0.33333333333333331</v>
      </c>
      <c r="AU7" t="str">
        <f>IF(AV7=1,VLOOKUP($B7,Feiertage!$B$2:$D$49,3,FALSE),"")</f>
        <v>Tag der deutschen Einheit (D)</v>
      </c>
      <c r="AV7">
        <f>IF(IFERROR(MATCH($B7,Feiertage!$B$2:$B$49,0)&gt;0,0),1,0)</f>
        <v>1</v>
      </c>
      <c r="AW7" s="22">
        <f>IFERROR(HLOOKUP(DAY(B7),Urlaub!$C$4:$AG$16,MONTH(B7)+1,FALSE),0)</f>
        <v>0</v>
      </c>
      <c r="AX7" s="38">
        <f t="shared" si="3"/>
        <v>0</v>
      </c>
      <c r="AY7" s="7">
        <f t="shared" si="4"/>
        <v>2.0833333333333301E-2</v>
      </c>
      <c r="AZ7" s="5">
        <f t="shared" si="5"/>
        <v>0</v>
      </c>
      <c r="BA7" s="39">
        <f t="shared" si="7"/>
        <v>0</v>
      </c>
      <c r="BB7" s="5">
        <f t="shared" si="6"/>
        <v>0.33333333333333331</v>
      </c>
    </row>
    <row r="8" spans="1:54" ht="21" x14ac:dyDescent="0.35">
      <c r="B8" s="43">
        <f t="shared" si="8"/>
        <v>41915</v>
      </c>
      <c r="C8" s="44">
        <f t="shared" si="9"/>
        <v>41915</v>
      </c>
      <c r="D8" s="3"/>
      <c r="E8" s="62"/>
      <c r="F8" s="62"/>
      <c r="G8" s="62"/>
      <c r="H8" s="62"/>
      <c r="I8" s="62" t="str">
        <f t="shared" ca="1" si="0"/>
        <v/>
      </c>
      <c r="J8" s="52">
        <f>IF(AND(Feiertage!$G$2&lt;&gt;"ja",AV8=1),IF(AZ8&gt;0,BB8+AZ8,BB8),IF(AZ8=0,0, IF(I8&lt;&gt;"",AZ8-I8,AZ8)))+AX8</f>
        <v>0</v>
      </c>
      <c r="K8" s="62">
        <f>IF(AV8=0,BB8,IF(Feiertage!$G$2="ja","00:00",BB8))</f>
        <v>0.33333333333333331</v>
      </c>
      <c r="L8" s="52" t="str">
        <f t="shared" ca="1" si="1"/>
        <v/>
      </c>
      <c r="M8" s="50" t="str">
        <f>IF(AV8=1,AU8,IF(LOWER(AW8)=LOWER(Urlaub!$W$19),Urlaub!$S$19,
IF(LOWER(AW8)=LOWER(Urlaub!$W$20),Urlaub!$S$20,
IF(LOWER(AW8)=LOWER(Urlaub!$W$21),Urlaub!$S$21,
IF(LOWER(AW8)=LOWER(Urlaub!$W$22),Urlaub!$S$22,
IF(LOWER(AW8)=LOWER(Urlaub!$W$23),Urlaub!$S$23,
IF(LOWER(AW8)=LOWER(Urlaub!$W$24),Urlaub!$S$24,""))))))&amp;IF(AND(EXACT(LOWER(AW8),AW8),AW8&lt;&gt;0)," 1/2",""))</f>
        <v/>
      </c>
      <c r="N8" s="53">
        <f t="shared" si="2"/>
        <v>0</v>
      </c>
      <c r="P8" s="55">
        <v>41641</v>
      </c>
      <c r="Q8" s="65">
        <v>0.33333333333333331</v>
      </c>
      <c r="R8" s="63">
        <v>2.0833333333333301E-2</v>
      </c>
      <c r="S8" s="66"/>
      <c r="U8" s="115" t="str">
        <f xml:space="preserve"> "Saldo " &amp; TEXT(B1,"MMMM")</f>
        <v>Saldo Oktober</v>
      </c>
      <c r="V8" s="132">
        <f ca="1">SUM(L5:L35)</f>
        <v>0</v>
      </c>
      <c r="AU8" t="str">
        <f>IF(AV8=1,VLOOKUP($B8,Feiertage!$B$2:$D$49,3,FALSE),"")</f>
        <v/>
      </c>
      <c r="AV8">
        <f>IF(IFERROR(MATCH($B8,Feiertage!$B$2:$B$49,0)&gt;0,0),1,0)</f>
        <v>0</v>
      </c>
      <c r="AW8" s="22">
        <f>IFERROR(HLOOKUP(DAY(B8),Urlaub!$C$4:$AG$16,MONTH(B8)+1,FALSE),0)</f>
        <v>0</v>
      </c>
      <c r="AX8" s="38">
        <f t="shared" si="3"/>
        <v>0</v>
      </c>
      <c r="AY8" s="7">
        <f t="shared" si="4"/>
        <v>2.0833333333333301E-2</v>
      </c>
      <c r="AZ8" s="5">
        <f t="shared" si="5"/>
        <v>0</v>
      </c>
      <c r="BA8" s="39">
        <f t="shared" si="7"/>
        <v>0</v>
      </c>
      <c r="BB8" s="5">
        <f t="shared" si="6"/>
        <v>0.33333333333333331</v>
      </c>
    </row>
    <row r="9" spans="1:54" ht="18.75" x14ac:dyDescent="0.3">
      <c r="B9" s="43">
        <f t="shared" si="8"/>
        <v>41916</v>
      </c>
      <c r="C9" s="44">
        <f t="shared" si="9"/>
        <v>41916</v>
      </c>
      <c r="D9" s="3"/>
      <c r="E9" s="62"/>
      <c r="F9" s="62"/>
      <c r="G9" s="62"/>
      <c r="H9" s="62"/>
      <c r="I9" s="62" t="str">
        <f t="shared" ca="1" si="0"/>
        <v/>
      </c>
      <c r="J9" s="52">
        <f>IF(AND(Feiertage!$G$2&lt;&gt;"ja",AV9=1),IF(AZ9&gt;0,BB9+AZ9,BB9),IF(AZ9=0,0, IF(I9&lt;&gt;"",AZ9-I9,AZ9)))+AX9</f>
        <v>0</v>
      </c>
      <c r="K9" s="62">
        <f>IF(AV9=0,BB9,IF(Feiertage!$G$2="ja","00:00",BB9))</f>
        <v>0.33333333333333331</v>
      </c>
      <c r="L9" s="52" t="str">
        <f t="shared" ca="1" si="1"/>
        <v/>
      </c>
      <c r="M9" s="50" t="str">
        <f>IF(AV9=1,AU9,IF(LOWER(AW9)=LOWER(Urlaub!$W$19),Urlaub!$S$19,
IF(LOWER(AW9)=LOWER(Urlaub!$W$20),Urlaub!$S$20,
IF(LOWER(AW9)=LOWER(Urlaub!$W$21),Urlaub!$S$21,
IF(LOWER(AW9)=LOWER(Urlaub!$W$22),Urlaub!$S$22,
IF(LOWER(AW9)=LOWER(Urlaub!$W$23),Urlaub!$S$23,
IF(LOWER(AW9)=LOWER(Urlaub!$W$24),Urlaub!$S$24,""))))))&amp;IF(AND(EXACT(LOWER(AW9),AW9),AW9&lt;&gt;0)," 1/2",""))</f>
        <v/>
      </c>
      <c r="N9" s="53">
        <f t="shared" si="2"/>
        <v>0</v>
      </c>
      <c r="P9" s="55">
        <v>41642</v>
      </c>
      <c r="Q9" s="65">
        <v>0.33333333333333331</v>
      </c>
      <c r="R9" s="63">
        <v>2.0833333333333301E-2</v>
      </c>
      <c r="S9" s="66"/>
      <c r="U9" s="131" t="s">
        <v>85</v>
      </c>
      <c r="V9" s="134"/>
      <c r="AU9" t="str">
        <f>IF(AV9=1,VLOOKUP($B9,Feiertage!$B$2:$D$49,3,FALSE),"")</f>
        <v/>
      </c>
      <c r="AV9">
        <f>IF(IFERROR(MATCH($B9,Feiertage!$B$2:$B$49,0)&gt;0,0),1,0)</f>
        <v>0</v>
      </c>
      <c r="AW9" s="22">
        <f>IFERROR(HLOOKUP(DAY(B9),Urlaub!$C$4:$AG$16,MONTH(B9)+1,FALSE),0)</f>
        <v>0</v>
      </c>
      <c r="AX9" s="38">
        <f t="shared" si="3"/>
        <v>0</v>
      </c>
      <c r="AY9" s="7">
        <f t="shared" si="4"/>
        <v>2.0833333333333301E-2</v>
      </c>
      <c r="AZ9" s="5">
        <f t="shared" si="5"/>
        <v>0</v>
      </c>
      <c r="BA9" s="39">
        <f t="shared" si="7"/>
        <v>0</v>
      </c>
      <c r="BB9" s="5">
        <f t="shared" si="6"/>
        <v>0.33333333333333331</v>
      </c>
    </row>
    <row r="10" spans="1:54" ht="21.75" thickBot="1" x14ac:dyDescent="0.4">
      <c r="B10" s="43">
        <f t="shared" si="8"/>
        <v>41917</v>
      </c>
      <c r="C10" s="44">
        <f t="shared" si="9"/>
        <v>41917</v>
      </c>
      <c r="D10" s="3"/>
      <c r="E10" s="62"/>
      <c r="F10" s="62"/>
      <c r="G10" s="62"/>
      <c r="H10" s="62"/>
      <c r="I10" s="62" t="str">
        <f t="shared" ca="1" si="0"/>
        <v/>
      </c>
      <c r="J10" s="52">
        <f>IF(AND(Feiertage!$G$2&lt;&gt;"ja",AV10=1),IF(AZ10&gt;0,BB10+AZ10,BB10),IF(AZ10=0,0, IF(I10&lt;&gt;"",AZ10-I10,AZ10)))+AX10</f>
        <v>0</v>
      </c>
      <c r="K10" s="62">
        <f>IF(AV10=0,BB10,IF(Feiertage!$G$2="ja","00:00",BB10))</f>
        <v>0</v>
      </c>
      <c r="L10" s="52" t="str">
        <f t="shared" ca="1" si="1"/>
        <v/>
      </c>
      <c r="M10" s="50" t="str">
        <f>IF(AV10=1,AU10,IF(LOWER(AW10)=LOWER(Urlaub!$W$19),Urlaub!$S$19,
IF(LOWER(AW10)=LOWER(Urlaub!$W$20),Urlaub!$S$20,
IF(LOWER(AW10)=LOWER(Urlaub!$W$21),Urlaub!$S$21,
IF(LOWER(AW10)=LOWER(Urlaub!$W$22),Urlaub!$S$22,
IF(LOWER(AW10)=LOWER(Urlaub!$W$23),Urlaub!$S$23,
IF(LOWER(AW10)=LOWER(Urlaub!$W$24),Urlaub!$S$24,""))))))&amp;IF(AND(EXACT(LOWER(AW10),AW10),AW10&lt;&gt;0)," 1/2",""))</f>
        <v/>
      </c>
      <c r="N10" s="53">
        <f t="shared" si="2"/>
        <v>0</v>
      </c>
      <c r="P10" s="55">
        <v>41643</v>
      </c>
      <c r="Q10" s="65">
        <v>0.33333333333333331</v>
      </c>
      <c r="R10" s="63">
        <v>2.0833333333333301E-2</v>
      </c>
      <c r="S10" s="66"/>
      <c r="U10" s="116" t="str">
        <f xml:space="preserve"> "Übertrag in " &amp;  IF( MONTH(B1)=12, YEAR(B1)+1, TEXT(EDATE(B1,1),"MMMM"))</f>
        <v>Übertrag in November</v>
      </c>
      <c r="V10" s="133">
        <f ca="1">IF(V5="",0,V5)+V8+V9</f>
        <v>-50.999999999999986</v>
      </c>
      <c r="AU10" t="str">
        <f>IF(AV10=1,VLOOKUP($B10,Feiertage!$B$2:$D$49,3,FALSE),"")</f>
        <v/>
      </c>
      <c r="AV10">
        <f>IF(IFERROR(MATCH($B10,Feiertage!$B$2:$B$49,0)&gt;0,0),1,0)</f>
        <v>0</v>
      </c>
      <c r="AW10" s="22">
        <f>IFERROR(HLOOKUP(DAY(B10),Urlaub!$C$4:$AG$16,MONTH(B10)+1,FALSE),0)</f>
        <v>0</v>
      </c>
      <c r="AX10" s="38">
        <f t="shared" si="3"/>
        <v>0</v>
      </c>
      <c r="AY10" s="7">
        <f t="shared" si="4"/>
        <v>2.0833333333333301E-2</v>
      </c>
      <c r="AZ10" s="5">
        <f t="shared" si="5"/>
        <v>0</v>
      </c>
      <c r="BA10" s="39">
        <f t="shared" si="7"/>
        <v>0</v>
      </c>
      <c r="BB10" s="5">
        <f t="shared" si="6"/>
        <v>0</v>
      </c>
    </row>
    <row r="11" spans="1:54" ht="18.75" x14ac:dyDescent="0.3">
      <c r="B11" s="43">
        <f t="shared" si="8"/>
        <v>41918</v>
      </c>
      <c r="C11" s="44">
        <f t="shared" si="9"/>
        <v>41918</v>
      </c>
      <c r="D11" s="3"/>
      <c r="E11" s="62"/>
      <c r="F11" s="62"/>
      <c r="G11" s="62"/>
      <c r="H11" s="62"/>
      <c r="I11" s="62" t="str">
        <f t="shared" ca="1" si="0"/>
        <v/>
      </c>
      <c r="J11" s="52">
        <f>IF(AND(Feiertage!$G$2&lt;&gt;"ja",AV11=1),IF(AZ11&gt;0,BB11+AZ11,BB11),IF(AZ11=0,0, IF(I11&lt;&gt;"",AZ11-I11,AZ11)))+AX11</f>
        <v>0</v>
      </c>
      <c r="K11" s="62">
        <f>IF(AV11=0,BB11,IF(Feiertage!$G$2="ja","00:00",BB11))</f>
        <v>0</v>
      </c>
      <c r="L11" s="52" t="str">
        <f t="shared" ca="1" si="1"/>
        <v/>
      </c>
      <c r="M11" s="50" t="str">
        <f>IF(AV11=1,AU11,IF(LOWER(AW11)=LOWER(Urlaub!$W$19),Urlaub!$S$19,
IF(LOWER(AW11)=LOWER(Urlaub!$W$20),Urlaub!$S$20,
IF(LOWER(AW11)=LOWER(Urlaub!$W$21),Urlaub!$S$21,
IF(LOWER(AW11)=LOWER(Urlaub!$W$22),Urlaub!$S$22,
IF(LOWER(AW11)=LOWER(Urlaub!$W$23),Urlaub!$S$23,
IF(LOWER(AW11)=LOWER(Urlaub!$W$24),Urlaub!$S$24,""))))))&amp;IF(AND(EXACT(LOWER(AW11),AW11),AW11&lt;&gt;0)," 1/2",""))</f>
        <v/>
      </c>
      <c r="N11" s="53">
        <f t="shared" si="2"/>
        <v>0</v>
      </c>
      <c r="O11" s="21"/>
      <c r="P11" s="79">
        <v>41644</v>
      </c>
      <c r="Q11" s="67">
        <v>0</v>
      </c>
      <c r="R11" s="63">
        <v>2.0833333333333301E-2</v>
      </c>
      <c r="S11" s="66"/>
      <c r="AU11" t="str">
        <f>IF(AV11=1,VLOOKUP($B11,Feiertage!$B$2:$D$49,3,FALSE),"")</f>
        <v/>
      </c>
      <c r="AV11">
        <f>IF(IFERROR(MATCH($B11,Feiertage!$B$2:$B$49,0)&gt;0,0),1,0)</f>
        <v>0</v>
      </c>
      <c r="AW11" s="22">
        <f>IFERROR(HLOOKUP(DAY(B11),Urlaub!$C$4:$AG$16,MONTH(B11)+1,FALSE),0)</f>
        <v>0</v>
      </c>
      <c r="AX11" s="38">
        <f t="shared" si="3"/>
        <v>0</v>
      </c>
      <c r="AY11" s="7">
        <f t="shared" si="4"/>
        <v>2.0833333333333301E-2</v>
      </c>
      <c r="AZ11" s="5">
        <f>IF(F11,IF(E11,IF(E11&gt;F11,F11+"24:00"-E11,F11-E11),0),0)+IF(G11,IF(G11,IF(G11&gt;H11,H11+"24:00"-G11,H11-G11),0),0)</f>
        <v>0</v>
      </c>
      <c r="BA11" s="39">
        <f t="shared" si="7"/>
        <v>0</v>
      </c>
      <c r="BB11" s="5">
        <f t="shared" si="6"/>
        <v>0</v>
      </c>
    </row>
    <row r="12" spans="1:54" ht="19.5" thickBot="1" x14ac:dyDescent="0.35">
      <c r="B12" s="43">
        <f t="shared" si="8"/>
        <v>41919</v>
      </c>
      <c r="C12" s="44">
        <f t="shared" si="9"/>
        <v>41919</v>
      </c>
      <c r="D12" s="3"/>
      <c r="E12" s="62"/>
      <c r="F12" s="62"/>
      <c r="G12" s="62"/>
      <c r="H12" s="62"/>
      <c r="I12" s="62" t="str">
        <f t="shared" ca="1" si="0"/>
        <v/>
      </c>
      <c r="J12" s="52">
        <f>IF(AND(Feiertage!$G$2&lt;&gt;"ja",AV12=1),IF(AZ12&gt;0,BB12+AZ12,BB12),IF(AZ12=0,0, IF(I12&lt;&gt;"",AZ12-I12,AZ12)))+AX12</f>
        <v>0</v>
      </c>
      <c r="K12" s="62">
        <f>IF(AV12=0,BB12,IF(Feiertage!$G$2="ja","00:00",BB12))</f>
        <v>0.33333333333333331</v>
      </c>
      <c r="L12" s="52" t="str">
        <f t="shared" ca="1" si="1"/>
        <v/>
      </c>
      <c r="M12" s="50" t="str">
        <f>IF(AV12=1,AU12,IF(LOWER(AW12)=LOWER(Urlaub!$W$19),Urlaub!$S$19,
IF(LOWER(AW12)=LOWER(Urlaub!$W$20),Urlaub!$S$20,
IF(LOWER(AW12)=LOWER(Urlaub!$W$21),Urlaub!$S$21,
IF(LOWER(AW12)=LOWER(Urlaub!$W$22),Urlaub!$S$22,
IF(LOWER(AW12)=LOWER(Urlaub!$W$23),Urlaub!$S$23,
IF(LOWER(AW12)=LOWER(Urlaub!$W$24),Urlaub!$S$24,""))))))&amp;IF(AND(EXACT(LOWER(AW12),AW12),AW12&lt;&gt;0)," 1/2",""))</f>
        <v/>
      </c>
      <c r="N12" s="53">
        <f t="shared" si="2"/>
        <v>0</v>
      </c>
      <c r="P12" s="80">
        <v>41645</v>
      </c>
      <c r="Q12" s="68">
        <v>0</v>
      </c>
      <c r="R12" s="110">
        <v>2.0833333333333301E-2</v>
      </c>
      <c r="S12" s="69"/>
      <c r="AU12" t="str">
        <f>IF(AV12=1,VLOOKUP($B12,Feiertage!$B$2:$D$49,3,FALSE),"")</f>
        <v/>
      </c>
      <c r="AV12">
        <f>IF(IFERROR(MATCH($B12,Feiertage!$B$2:$B$49,0)&gt;0,0),1,0)</f>
        <v>0</v>
      </c>
      <c r="AW12" s="22">
        <f>IFERROR(HLOOKUP(DAY(B12),Urlaub!$C$4:$AG$16,MONTH(B12)+1,FALSE),0)</f>
        <v>0</v>
      </c>
      <c r="AX12" s="38">
        <f t="shared" si="3"/>
        <v>0</v>
      </c>
      <c r="AY12" s="7">
        <f t="shared" si="4"/>
        <v>2.0833333333333332E-2</v>
      </c>
      <c r="AZ12" s="5">
        <f>IF(F12,IF(E12,IF(E12&gt;F12,F12+"24:00"-E12,F12-E12),0),0)+IF(G12,IF(G12,IF(G12&gt;H12,H12+"24:00"-G12,H12-G12),0),0)</f>
        <v>0</v>
      </c>
      <c r="BA12" s="39">
        <f t="shared" si="7"/>
        <v>0</v>
      </c>
      <c r="BB12" s="5">
        <f t="shared" si="6"/>
        <v>0.33333333333333331</v>
      </c>
    </row>
    <row r="13" spans="1:54" ht="19.5" thickBot="1" x14ac:dyDescent="0.35">
      <c r="B13" s="43">
        <f t="shared" si="8"/>
        <v>41920</v>
      </c>
      <c r="C13" s="44">
        <f t="shared" si="9"/>
        <v>41920</v>
      </c>
      <c r="D13" s="3"/>
      <c r="E13" s="62"/>
      <c r="F13" s="62"/>
      <c r="G13" s="62"/>
      <c r="H13" s="62"/>
      <c r="I13" s="62" t="str">
        <f t="shared" ca="1" si="0"/>
        <v/>
      </c>
      <c r="J13" s="52">
        <f>IF(AND(Feiertage!$G$2&lt;&gt;"ja",AV13=1),IF(AZ13&gt;0,BB13+AZ13,BB13),IF(AZ13=0,0, IF(I13&lt;&gt;"",AZ13-I13,AZ13)))+AX13</f>
        <v>0</v>
      </c>
      <c r="K13" s="62">
        <f>IF(AV13=0,BB13,IF(Feiertage!$G$2="ja","00:00",BB13))</f>
        <v>0.33333333333333331</v>
      </c>
      <c r="L13" s="52" t="str">
        <f t="shared" ca="1" si="1"/>
        <v/>
      </c>
      <c r="M13" s="50" t="str">
        <f>IF(AV13=1,AU13,IF(LOWER(AW13)=LOWER(Urlaub!$W$19),Urlaub!$S$19,
IF(LOWER(AW13)=LOWER(Urlaub!$W$20),Urlaub!$S$20,
IF(LOWER(AW13)=LOWER(Urlaub!$W$21),Urlaub!$S$21,
IF(LOWER(AW13)=LOWER(Urlaub!$W$22),Urlaub!$S$22,
IF(LOWER(AW13)=LOWER(Urlaub!$W$23),Urlaub!$S$23,
IF(LOWER(AW13)=LOWER(Urlaub!$W$24),Urlaub!$S$24,""))))))&amp;IF(AND(EXACT(LOWER(AW13),AW13),AW13&lt;&gt;0)," 1/2",""))</f>
        <v/>
      </c>
      <c r="N13" s="53">
        <f t="shared" si="2"/>
        <v>0</v>
      </c>
      <c r="P13" s="56" t="s">
        <v>9</v>
      </c>
      <c r="Q13" s="57">
        <f>SUM(Q6:Q12)</f>
        <v>1.6666666666666665</v>
      </c>
      <c r="R13" s="4"/>
      <c r="Y13" s="7"/>
      <c r="AU13" t="str">
        <f>IF(AV13=1,VLOOKUP($B13,Feiertage!$B$2:$D$49,3,FALSE),"")</f>
        <v/>
      </c>
      <c r="AV13">
        <f>IF(IFERROR(MATCH($B13,Feiertage!$B$2:$B$49,0)&gt;0,0),1,0)</f>
        <v>0</v>
      </c>
      <c r="AW13" s="22">
        <f>IFERROR(HLOOKUP(DAY(B13),Urlaub!$C$4:$AG$16,MONTH(B13)+1,FALSE),0)</f>
        <v>0</v>
      </c>
      <c r="AX13" s="38">
        <f t="shared" si="3"/>
        <v>0</v>
      </c>
      <c r="AY13" s="7">
        <f t="shared" si="4"/>
        <v>2.0833333333333332E-2</v>
      </c>
      <c r="AZ13" s="5">
        <f t="shared" si="5"/>
        <v>0</v>
      </c>
      <c r="BA13" s="39">
        <f t="shared" si="7"/>
        <v>0</v>
      </c>
      <c r="BB13" s="5">
        <f t="shared" si="6"/>
        <v>0.33333333333333331</v>
      </c>
    </row>
    <row r="14" spans="1:54" ht="18.75" x14ac:dyDescent="0.3">
      <c r="B14" s="43">
        <f t="shared" si="8"/>
        <v>41921</v>
      </c>
      <c r="C14" s="44">
        <f t="shared" si="9"/>
        <v>41921</v>
      </c>
      <c r="D14" s="3"/>
      <c r="E14" s="62"/>
      <c r="F14" s="62"/>
      <c r="G14" s="62"/>
      <c r="H14" s="62"/>
      <c r="I14" s="62" t="str">
        <f t="shared" ca="1" si="0"/>
        <v/>
      </c>
      <c r="J14" s="52">
        <f>IF(AND(Feiertage!$G$2&lt;&gt;"ja",AV14=1),IF(AZ14&gt;0,BB14+AZ14,BB14),IF(AZ14=0,0, IF(I14&lt;&gt;"",AZ14-I14,AZ14)))+AX14</f>
        <v>0</v>
      </c>
      <c r="K14" s="62">
        <f>IF(AV14=0,BB14,IF(Feiertage!$G$2="ja","00:00",BB14))</f>
        <v>0.33333333333333331</v>
      </c>
      <c r="L14" s="52" t="str">
        <f t="shared" ca="1" si="1"/>
        <v/>
      </c>
      <c r="M14" s="50" t="str">
        <f>IF(AV14=1,AU14,IF(LOWER(AW14)=LOWER(Urlaub!$W$19),Urlaub!$S$19,
IF(LOWER(AW14)=LOWER(Urlaub!$W$20),Urlaub!$S$20,
IF(LOWER(AW14)=LOWER(Urlaub!$W$21),Urlaub!$S$21,
IF(LOWER(AW14)=LOWER(Urlaub!$W$22),Urlaub!$S$22,
IF(LOWER(AW14)=LOWER(Urlaub!$W$23),Urlaub!$S$23,
IF(LOWER(AW14)=LOWER(Urlaub!$W$24),Urlaub!$S$24,""))))))&amp;IF(AND(EXACT(LOWER(AW14),AW14),AW14&lt;&gt;0)," 1/2",""))</f>
        <v/>
      </c>
      <c r="N14" s="53">
        <f t="shared" si="2"/>
        <v>0</v>
      </c>
      <c r="O14" s="6"/>
      <c r="AU14" t="str">
        <f>IF(AV14=1,VLOOKUP($B14,Feiertage!$B$2:$D$49,3,FALSE),"")</f>
        <v/>
      </c>
      <c r="AV14">
        <f>IF(IFERROR(MATCH($B14,Feiertage!$B$2:$B$49,0)&gt;0,0),1,0)</f>
        <v>0</v>
      </c>
      <c r="AW14" s="22">
        <f>IFERROR(HLOOKUP(DAY(B14),Urlaub!$C$4:$AG$16,MONTH(B14)+1,FALSE),0)</f>
        <v>0</v>
      </c>
      <c r="AX14" s="38">
        <f t="shared" si="3"/>
        <v>0</v>
      </c>
      <c r="AY14" s="7">
        <f t="shared" si="4"/>
        <v>2.0833333333333301E-2</v>
      </c>
      <c r="AZ14" s="5">
        <f t="shared" si="5"/>
        <v>0</v>
      </c>
      <c r="BA14" s="39">
        <f t="shared" si="7"/>
        <v>0</v>
      </c>
      <c r="BB14" s="5">
        <f t="shared" si="6"/>
        <v>0.33333333333333331</v>
      </c>
    </row>
    <row r="15" spans="1:54" ht="19.5" thickBot="1" x14ac:dyDescent="0.35">
      <c r="B15" s="43">
        <f t="shared" si="8"/>
        <v>41922</v>
      </c>
      <c r="C15" s="44">
        <f t="shared" si="9"/>
        <v>41922</v>
      </c>
      <c r="D15" s="3"/>
      <c r="E15" s="62"/>
      <c r="F15" s="62"/>
      <c r="G15" s="62"/>
      <c r="H15" s="62"/>
      <c r="I15" s="62" t="str">
        <f t="shared" ca="1" si="0"/>
        <v/>
      </c>
      <c r="J15" s="52">
        <f>IF(AND(Feiertage!$G$2&lt;&gt;"ja",AV15=1),IF(AZ15&gt;0,BB15+AZ15,BB15),IF(AZ15=0,0, IF(I15&lt;&gt;"",AZ15-I15,AZ15)))+AX15</f>
        <v>0</v>
      </c>
      <c r="K15" s="62">
        <f>IF(AV15=0,BB15,IF(Feiertage!$G$2="ja","00:00",BB15))</f>
        <v>0.33333333333333331</v>
      </c>
      <c r="L15" s="52" t="str">
        <f t="shared" ca="1" si="1"/>
        <v/>
      </c>
      <c r="M15" s="50" t="str">
        <f>IF(AV15=1,AU15,IF(LOWER(AW15)=LOWER(Urlaub!$W$19),Urlaub!$S$19,
IF(LOWER(AW15)=LOWER(Urlaub!$W$20),Urlaub!$S$20,
IF(LOWER(AW15)=LOWER(Urlaub!$W$21),Urlaub!$S$21,
IF(LOWER(AW15)=LOWER(Urlaub!$W$22),Urlaub!$S$22,
IF(LOWER(AW15)=LOWER(Urlaub!$W$23),Urlaub!$S$23,
IF(LOWER(AW15)=LOWER(Urlaub!$W$24),Urlaub!$S$24,""))))))&amp;IF(AND(EXACT(LOWER(AW15),AW15),AW15&lt;&gt;0)," 1/2",""))</f>
        <v/>
      </c>
      <c r="N15" s="53">
        <f t="shared" si="2"/>
        <v>0</v>
      </c>
      <c r="P15" s="153" t="s">
        <v>86</v>
      </c>
      <c r="Q15" s="154"/>
      <c r="R15" s="154"/>
      <c r="S15" s="154"/>
      <c r="T15" s="154"/>
      <c r="U15" s="154"/>
      <c r="V15" s="154"/>
      <c r="AU15" t="str">
        <f>IF(AV15=1,VLOOKUP($B15,Feiertage!$B$2:$D$49,3,FALSE),"")</f>
        <v/>
      </c>
      <c r="AV15">
        <f>IF(IFERROR(MATCH($B15,Feiertage!$B$2:$B$49,0)&gt;0,0),1,0)</f>
        <v>0</v>
      </c>
      <c r="AW15" s="22">
        <f>IFERROR(HLOOKUP(DAY(B15),Urlaub!$C$4:$AG$16,MONTH(B15)+1,FALSE),0)</f>
        <v>0</v>
      </c>
      <c r="AX15" s="38">
        <f t="shared" si="3"/>
        <v>0</v>
      </c>
      <c r="AY15" s="7">
        <f t="shared" si="4"/>
        <v>2.0833333333333301E-2</v>
      </c>
      <c r="AZ15" s="5">
        <f t="shared" si="5"/>
        <v>0</v>
      </c>
      <c r="BA15" s="39">
        <f t="shared" si="7"/>
        <v>0</v>
      </c>
      <c r="BB15" s="5">
        <f t="shared" si="6"/>
        <v>0.33333333333333331</v>
      </c>
    </row>
    <row r="16" spans="1:54" ht="18.75" x14ac:dyDescent="0.3">
      <c r="B16" s="43">
        <f t="shared" si="8"/>
        <v>41923</v>
      </c>
      <c r="C16" s="44">
        <f t="shared" si="9"/>
        <v>41923</v>
      </c>
      <c r="D16" s="3"/>
      <c r="E16" s="62"/>
      <c r="F16" s="62"/>
      <c r="G16" s="62"/>
      <c r="H16" s="62"/>
      <c r="I16" s="62" t="str">
        <f t="shared" ca="1" si="0"/>
        <v/>
      </c>
      <c r="J16" s="52">
        <f>IF(AND(Feiertage!$G$2&lt;&gt;"ja",AV16=1),IF(AZ16&gt;0,BB16+AZ16,BB16),IF(AZ16=0,0, IF(I16&lt;&gt;"",AZ16-I16,AZ16)))+AX16</f>
        <v>0</v>
      </c>
      <c r="K16" s="62">
        <f>IF(AV16=0,BB16,IF(Feiertage!$G$2="ja","00:00",BB16))</f>
        <v>0.33333333333333331</v>
      </c>
      <c r="L16" s="52" t="str">
        <f t="shared" ca="1" si="1"/>
        <v/>
      </c>
      <c r="M16" s="50" t="str">
        <f>IF(AV16=1,AU16,IF(LOWER(AW16)=LOWER(Urlaub!$W$19),Urlaub!$S$19,
IF(LOWER(AW16)=LOWER(Urlaub!$W$20),Urlaub!$S$20,
IF(LOWER(AW16)=LOWER(Urlaub!$W$21),Urlaub!$S$21,
IF(LOWER(AW16)=LOWER(Urlaub!$W$22),Urlaub!$S$22,
IF(LOWER(AW16)=LOWER(Urlaub!$W$23),Urlaub!$S$23,
IF(LOWER(AW16)=LOWER(Urlaub!$W$24),Urlaub!$S$24,""))))))&amp;IF(AND(EXACT(LOWER(AW16),AW16),AW16&lt;&gt;0)," 1/2",""))</f>
        <v/>
      </c>
      <c r="N16" s="53">
        <f t="shared" si="2"/>
        <v>0</v>
      </c>
      <c r="P16" s="155"/>
      <c r="Q16" s="156"/>
      <c r="R16" s="156"/>
      <c r="S16" s="156"/>
      <c r="T16" s="156"/>
      <c r="U16" s="156"/>
      <c r="V16" s="157"/>
      <c r="AU16" t="str">
        <f>IF(AV16=1,VLOOKUP($B16,Feiertage!$B$2:$D$49,3,FALSE),"")</f>
        <v/>
      </c>
      <c r="AV16">
        <f>IF(IFERROR(MATCH($B16,Feiertage!$B$2:$B$49,0)&gt;0,0),1,0)</f>
        <v>0</v>
      </c>
      <c r="AW16" s="22">
        <f>IFERROR(HLOOKUP(DAY(B16),Urlaub!$C$4:$AG$16,MONTH(B16)+1,FALSE),0)</f>
        <v>0</v>
      </c>
      <c r="AX16" s="38">
        <f t="shared" si="3"/>
        <v>0</v>
      </c>
      <c r="AY16" s="7">
        <f t="shared" si="4"/>
        <v>2.0833333333333301E-2</v>
      </c>
      <c r="AZ16" s="5">
        <f t="shared" si="5"/>
        <v>0</v>
      </c>
      <c r="BA16" s="39">
        <f t="shared" si="7"/>
        <v>0</v>
      </c>
      <c r="BB16" s="5">
        <f t="shared" si="6"/>
        <v>0.33333333333333331</v>
      </c>
    </row>
    <row r="17" spans="2:54" ht="18.75" x14ac:dyDescent="0.3">
      <c r="B17" s="43">
        <f t="shared" si="8"/>
        <v>41924</v>
      </c>
      <c r="C17" s="44">
        <f t="shared" si="9"/>
        <v>41924</v>
      </c>
      <c r="D17" s="3"/>
      <c r="E17" s="62"/>
      <c r="F17" s="62"/>
      <c r="G17" s="62"/>
      <c r="H17" s="62"/>
      <c r="I17" s="62" t="str">
        <f t="shared" ca="1" si="0"/>
        <v/>
      </c>
      <c r="J17" s="52">
        <f>IF(AND(Feiertage!$G$2&lt;&gt;"ja",AV17=1),IF(AZ17&gt;0,BB17+AZ17,BB17),IF(AZ17=0,0, IF(I17&lt;&gt;"",AZ17-I17,AZ17)))+AX17</f>
        <v>0</v>
      </c>
      <c r="K17" s="62">
        <f>IF(AV17=0,BB17,IF(Feiertage!$G$2="ja","00:00",BB17))</f>
        <v>0</v>
      </c>
      <c r="L17" s="52" t="str">
        <f t="shared" ca="1" si="1"/>
        <v/>
      </c>
      <c r="M17" s="50" t="str">
        <f>IF(AV17=1,AU17,IF(LOWER(AW17)=LOWER(Urlaub!$W$19),Urlaub!$S$19,
IF(LOWER(AW17)=LOWER(Urlaub!$W$20),Urlaub!$S$20,
IF(LOWER(AW17)=LOWER(Urlaub!$W$21),Urlaub!$S$21,
IF(LOWER(AW17)=LOWER(Urlaub!$W$22),Urlaub!$S$22,
IF(LOWER(AW17)=LOWER(Urlaub!$W$23),Urlaub!$S$23,
IF(LOWER(AW17)=LOWER(Urlaub!$W$24),Urlaub!$S$24,""))))))&amp;IF(AND(EXACT(LOWER(AW17),AW17),AW17&lt;&gt;0)," 1/2",""))</f>
        <v/>
      </c>
      <c r="N17" s="53">
        <f t="shared" si="2"/>
        <v>0</v>
      </c>
      <c r="P17" s="158"/>
      <c r="Q17" s="159"/>
      <c r="R17" s="159"/>
      <c r="S17" s="159"/>
      <c r="T17" s="159"/>
      <c r="U17" s="159"/>
      <c r="V17" s="160"/>
      <c r="AU17" t="str">
        <f>IF(AV17=1,VLOOKUP($B17,Feiertage!$B$2:$D$49,3,FALSE),"")</f>
        <v/>
      </c>
      <c r="AV17">
        <f>IF(IFERROR(MATCH($B17,Feiertage!$B$2:$B$49,0)&gt;0,0),1,0)</f>
        <v>0</v>
      </c>
      <c r="AW17" s="22">
        <f>IFERROR(HLOOKUP(DAY(B17),Urlaub!$C$4:$AG$16,MONTH(B17)+1,FALSE),0)</f>
        <v>0</v>
      </c>
      <c r="AX17" s="38">
        <f t="shared" ref="AX17:AX35" si="10">IFERROR(IF(OR(AW17=0,AW17="G"),0,IF(EXACT(LOWER(AW17),AW17),0.5*BB17,BB17)),"")</f>
        <v>0</v>
      </c>
      <c r="AY17" s="7">
        <f t="shared" si="4"/>
        <v>2.0833333333333301E-2</v>
      </c>
      <c r="AZ17" s="5">
        <f t="shared" si="5"/>
        <v>0</v>
      </c>
      <c r="BA17" s="39">
        <f t="shared" si="7"/>
        <v>0</v>
      </c>
      <c r="BB17" s="5">
        <f t="shared" si="6"/>
        <v>0</v>
      </c>
    </row>
    <row r="18" spans="2:54" ht="19.5" thickBot="1" x14ac:dyDescent="0.35">
      <c r="B18" s="43">
        <f t="shared" si="8"/>
        <v>41925</v>
      </c>
      <c r="C18" s="44">
        <f t="shared" si="9"/>
        <v>41925</v>
      </c>
      <c r="D18" s="3"/>
      <c r="E18" s="62"/>
      <c r="F18" s="62"/>
      <c r="G18" s="62"/>
      <c r="H18" s="62"/>
      <c r="I18" s="62" t="str">
        <f t="shared" ca="1" si="0"/>
        <v/>
      </c>
      <c r="J18" s="52">
        <f>IF(AND(Feiertage!$G$2&lt;&gt;"ja",AV18=1),IF(AZ18&gt;0,BB18+AZ18,BB18),IF(AZ18=0,0, IF(I18&lt;&gt;"",AZ18-I18,AZ18)))+AX18</f>
        <v>0</v>
      </c>
      <c r="K18" s="62">
        <f>IF(AV18=0,BB18,IF(Feiertage!$G$2="ja","00:00",BB18))</f>
        <v>0</v>
      </c>
      <c r="L18" s="52" t="str">
        <f t="shared" ca="1" si="1"/>
        <v/>
      </c>
      <c r="M18" s="50" t="str">
        <f>IF(AV18=1,AU18,IF(LOWER(AW18)=LOWER(Urlaub!$W$19),Urlaub!$S$19,
IF(LOWER(AW18)=LOWER(Urlaub!$W$20),Urlaub!$S$20,
IF(LOWER(AW18)=LOWER(Urlaub!$W$21),Urlaub!$S$21,
IF(LOWER(AW18)=LOWER(Urlaub!$W$22),Urlaub!$S$22,
IF(LOWER(AW18)=LOWER(Urlaub!$W$23),Urlaub!$S$23,
IF(LOWER(AW18)=LOWER(Urlaub!$W$24),Urlaub!$S$24,""))))))&amp;IF(AND(EXACT(LOWER(AW18),AW18),AW18&lt;&gt;0)," 1/2",""))</f>
        <v/>
      </c>
      <c r="N18" s="53">
        <f t="shared" si="2"/>
        <v>0</v>
      </c>
      <c r="P18" s="161"/>
      <c r="Q18" s="162"/>
      <c r="R18" s="162"/>
      <c r="S18" s="162"/>
      <c r="T18" s="162"/>
      <c r="U18" s="162"/>
      <c r="V18" s="163"/>
      <c r="AU18" t="str">
        <f>IF(AV18=1,VLOOKUP($B18,Feiertage!$B$2:$D$49,3,FALSE),"")</f>
        <v/>
      </c>
      <c r="AV18">
        <f>IF(IFERROR(MATCH($B18,Feiertage!$B$2:$B$49,0)&gt;0,0),1,0)</f>
        <v>0</v>
      </c>
      <c r="AW18" s="22">
        <f>IFERROR(HLOOKUP(DAY(B18),Urlaub!$C$4:$AG$16,MONTH(B18)+1,FALSE),0)</f>
        <v>0</v>
      </c>
      <c r="AX18" s="38">
        <f t="shared" si="10"/>
        <v>0</v>
      </c>
      <c r="AY18" s="7">
        <f t="shared" si="4"/>
        <v>2.0833333333333301E-2</v>
      </c>
      <c r="AZ18" s="5">
        <f t="shared" si="5"/>
        <v>0</v>
      </c>
      <c r="BA18" s="39">
        <f t="shared" si="7"/>
        <v>0</v>
      </c>
      <c r="BB18" s="5">
        <f t="shared" si="6"/>
        <v>0</v>
      </c>
    </row>
    <row r="19" spans="2:54" ht="18.75" x14ac:dyDescent="0.3">
      <c r="B19" s="43">
        <f t="shared" si="8"/>
        <v>41926</v>
      </c>
      <c r="C19" s="44">
        <f t="shared" si="9"/>
        <v>41926</v>
      </c>
      <c r="D19" s="3"/>
      <c r="E19" s="62"/>
      <c r="F19" s="62"/>
      <c r="G19" s="62"/>
      <c r="H19" s="62"/>
      <c r="I19" s="62" t="str">
        <f t="shared" ca="1" si="0"/>
        <v/>
      </c>
      <c r="J19" s="52">
        <f>IF(AND(Feiertage!$G$2&lt;&gt;"ja",AV19=1),IF(AZ19&gt;0,BB19+AZ19,BB19),IF(AZ19=0,0, IF(I19&lt;&gt;"",AZ19-I19,AZ19)))+AX19</f>
        <v>0</v>
      </c>
      <c r="K19" s="62">
        <f>IF(AV19=0,BB19,IF(Feiertage!$G$2="ja","00:00",BB19))</f>
        <v>0.33333333333333331</v>
      </c>
      <c r="L19" s="52" t="str">
        <f ca="1">IF(OR(B19&lt;=TODAY(),J19,AW19="G"),IF(J19&lt;&gt;"",IF(J19-K19=0,"",J19-K19),IF(K19&lt;&gt;"",-K19,"")),"")</f>
        <v/>
      </c>
      <c r="M19" s="50" t="str">
        <f>IF(AV19=1,AU19,IF(LOWER(AW19)=LOWER(Urlaub!$W$19),Urlaub!$S$19,
IF(LOWER(AW19)=LOWER(Urlaub!$W$20),Urlaub!$S$20,
IF(LOWER(AW19)=LOWER(Urlaub!$W$21),Urlaub!$S$21,
IF(LOWER(AW19)=LOWER(Urlaub!$W$22),Urlaub!$S$22,
IF(LOWER(AW19)=LOWER(Urlaub!$W$23),Urlaub!$S$23,
IF(LOWER(AW19)=LOWER(Urlaub!$W$24),Urlaub!$S$24,""))))))&amp;IF(AND(EXACT(LOWER(AW19),AW19),AW19&lt;&gt;0)," 1/2",""))</f>
        <v/>
      </c>
      <c r="N19" s="53">
        <f t="shared" si="2"/>
        <v>0</v>
      </c>
      <c r="AU19" t="str">
        <f>IF(AV19=1,VLOOKUP($B19,Feiertage!$B$2:$D$49,3,FALSE),"")</f>
        <v/>
      </c>
      <c r="AV19">
        <f>IF(IFERROR(MATCH($B19,Feiertage!$B$2:$B$49,0)&gt;0,0),1,0)</f>
        <v>0</v>
      </c>
      <c r="AW19" s="22">
        <f>IFERROR(HLOOKUP(DAY(B19),Urlaub!$C$4:$AG$16,MONTH(B19)+1,FALSE),0)</f>
        <v>0</v>
      </c>
      <c r="AX19" s="38">
        <f>IFERROR(IF(OR(AW19=0,AW19="G"),0,IF(EXACT(LOWER(AW19),AW19),0.5*BB19,BB19)),"")</f>
        <v>0</v>
      </c>
      <c r="AY19" s="7">
        <f t="shared" si="4"/>
        <v>2.0833333333333332E-2</v>
      </c>
      <c r="AZ19" s="5">
        <f t="shared" si="5"/>
        <v>0</v>
      </c>
      <c r="BA19" s="39">
        <f t="shared" si="7"/>
        <v>0</v>
      </c>
      <c r="BB19" s="5">
        <f t="shared" si="6"/>
        <v>0.33333333333333331</v>
      </c>
    </row>
    <row r="20" spans="2:54" ht="18.75" x14ac:dyDescent="0.3">
      <c r="B20" s="43">
        <f t="shared" si="8"/>
        <v>41927</v>
      </c>
      <c r="C20" s="44">
        <f t="shared" si="9"/>
        <v>41927</v>
      </c>
      <c r="D20" s="3"/>
      <c r="E20" s="62"/>
      <c r="F20" s="62"/>
      <c r="G20" s="62"/>
      <c r="H20" s="62"/>
      <c r="I20" s="62" t="str">
        <f t="shared" ca="1" si="0"/>
        <v/>
      </c>
      <c r="J20" s="52">
        <f>IF(AND(Feiertage!$G$2&lt;&gt;"ja",AV20=1),IF(AZ20&gt;0,BB20+AZ20,BB20),IF(AZ20=0,0, IF(I20&lt;&gt;"",AZ20-I20,AZ20)))+AX20</f>
        <v>0</v>
      </c>
      <c r="K20" s="62">
        <f>IF(AV20=0,BB20,IF(Feiertage!$G$2="ja","00:00",BB20))</f>
        <v>0.33333333333333331</v>
      </c>
      <c r="L20" s="52" t="str">
        <f t="shared" ref="L20:L35" ca="1" si="11">IF(OR(B20&lt;=TODAY(),J20,AW20="G"),IF(J20&lt;&gt;"",IF(J20-K20=0,"",J20-K20),IF(K20&lt;&gt;"",-K20,"")),"")</f>
        <v/>
      </c>
      <c r="M20" s="50" t="str">
        <f>IF(AV20=1,AU20,IF(LOWER(AW20)=LOWER(Urlaub!$W$19),Urlaub!$S$19,
IF(LOWER(AW20)=LOWER(Urlaub!$W$20),Urlaub!$S$20,
IF(LOWER(AW20)=LOWER(Urlaub!$W$21),Urlaub!$S$21,
IF(LOWER(AW20)=LOWER(Urlaub!$W$22),Urlaub!$S$22,
IF(LOWER(AW20)=LOWER(Urlaub!$W$23),Urlaub!$S$23,
IF(LOWER(AW20)=LOWER(Urlaub!$W$24),Urlaub!$S$24,""))))))&amp;IF(AND(EXACT(LOWER(AW20),AW20),AW20&lt;&gt;0)," 1/2",""))</f>
        <v/>
      </c>
      <c r="N20" s="53">
        <f t="shared" si="2"/>
        <v>0</v>
      </c>
      <c r="AU20" t="str">
        <f>IF(AV20=1,VLOOKUP($B20,Feiertage!$B$2:$D$49,3,FALSE),"")</f>
        <v/>
      </c>
      <c r="AV20">
        <f>IF(IFERROR(MATCH($B20,Feiertage!$B$2:$B$49,0)&gt;0,0),1,0)</f>
        <v>0</v>
      </c>
      <c r="AW20" s="22">
        <f>IFERROR(HLOOKUP(DAY(B20),Urlaub!$C$4:$AG$16,MONTH(B20)+1,FALSE),0)</f>
        <v>0</v>
      </c>
      <c r="AX20" s="38">
        <f t="shared" si="10"/>
        <v>0</v>
      </c>
      <c r="AY20" s="7">
        <f t="shared" si="4"/>
        <v>2.0833333333333332E-2</v>
      </c>
      <c r="AZ20" s="5">
        <f t="shared" si="5"/>
        <v>0</v>
      </c>
      <c r="BA20" s="39">
        <f t="shared" si="7"/>
        <v>0</v>
      </c>
      <c r="BB20" s="5">
        <f t="shared" si="6"/>
        <v>0.33333333333333331</v>
      </c>
    </row>
    <row r="21" spans="2:54" ht="18.75" x14ac:dyDescent="0.3">
      <c r="B21" s="43">
        <f t="shared" si="8"/>
        <v>41928</v>
      </c>
      <c r="C21" s="44">
        <f t="shared" si="9"/>
        <v>41928</v>
      </c>
      <c r="D21" s="3"/>
      <c r="E21" s="62"/>
      <c r="F21" s="62"/>
      <c r="G21" s="62"/>
      <c r="H21" s="62"/>
      <c r="I21" s="62" t="str">
        <f t="shared" ca="1" si="0"/>
        <v/>
      </c>
      <c r="J21" s="52">
        <f>IF(AND(Feiertage!$G$2&lt;&gt;"ja",AV21=1),IF(AZ21&gt;0,BB21+AZ21,BB21),IF(AZ21=0,0, IF(I21&lt;&gt;"",AZ21-I21,AZ21)))+AX21</f>
        <v>0</v>
      </c>
      <c r="K21" s="62">
        <f>IF(AV21=0,BB21,IF(Feiertage!$G$2="ja","00:00",BB21))</f>
        <v>0.33333333333333331</v>
      </c>
      <c r="L21" s="52" t="str">
        <f t="shared" ca="1" si="11"/>
        <v/>
      </c>
      <c r="M21" s="50" t="str">
        <f>IF(AV21=1,AU21,IF(LOWER(AW21)=LOWER(Urlaub!$W$19),Urlaub!$S$19,
IF(LOWER(AW21)=LOWER(Urlaub!$W$20),Urlaub!$S$20,
IF(LOWER(AW21)=LOWER(Urlaub!$W$21),Urlaub!$S$21,
IF(LOWER(AW21)=LOWER(Urlaub!$W$22),Urlaub!$S$22,
IF(LOWER(AW21)=LOWER(Urlaub!$W$23),Urlaub!$S$23,
IF(LOWER(AW21)=LOWER(Urlaub!$W$24),Urlaub!$S$24,""))))))&amp;IF(AND(EXACT(LOWER(AW21),AW21),AW21&lt;&gt;0)," 1/2",""))</f>
        <v/>
      </c>
      <c r="N21" s="53">
        <f t="shared" si="2"/>
        <v>0</v>
      </c>
      <c r="AU21" t="str">
        <f>IF(AV21=1,VLOOKUP($B21,Feiertage!$B$2:$D$49,3,FALSE),"")</f>
        <v/>
      </c>
      <c r="AV21">
        <f>IF(IFERROR(MATCH($B21,Feiertage!$B$2:$B$49,0)&gt;0,0),1,0)</f>
        <v>0</v>
      </c>
      <c r="AW21" s="22">
        <f>IFERROR(HLOOKUP(DAY(B21),Urlaub!$C$4:$AG$16,MONTH(B21)+1,FALSE),0)</f>
        <v>0</v>
      </c>
      <c r="AX21" s="38">
        <f t="shared" si="10"/>
        <v>0</v>
      </c>
      <c r="AY21" s="7">
        <f t="shared" si="4"/>
        <v>2.0833333333333301E-2</v>
      </c>
      <c r="AZ21" s="5">
        <f t="shared" si="5"/>
        <v>0</v>
      </c>
      <c r="BA21" s="39">
        <f t="shared" si="7"/>
        <v>0</v>
      </c>
      <c r="BB21" s="5">
        <f t="shared" si="6"/>
        <v>0.33333333333333331</v>
      </c>
    </row>
    <row r="22" spans="2:54" ht="18.75" x14ac:dyDescent="0.3">
      <c r="B22" s="43">
        <f t="shared" si="8"/>
        <v>41929</v>
      </c>
      <c r="C22" s="44">
        <f t="shared" si="9"/>
        <v>41929</v>
      </c>
      <c r="D22" s="3"/>
      <c r="E22" s="62"/>
      <c r="F22" s="62"/>
      <c r="G22" s="62"/>
      <c r="H22" s="62"/>
      <c r="I22" s="62" t="str">
        <f t="shared" ca="1" si="0"/>
        <v/>
      </c>
      <c r="J22" s="52">
        <f>IF(AND(Feiertage!$G$2&lt;&gt;"ja",AV22=1),IF(AZ22&gt;0,BB22+AZ22,BB22),IF(AZ22=0,0, IF(I22&lt;&gt;"",AZ22-I22,AZ22)))+AX22</f>
        <v>0</v>
      </c>
      <c r="K22" s="62">
        <f>IF(AV22=0,BB22,IF(Feiertage!$G$2="ja","00:00",BB22))</f>
        <v>0.33333333333333331</v>
      </c>
      <c r="L22" s="52" t="str">
        <f t="shared" ca="1" si="11"/>
        <v/>
      </c>
      <c r="M22" s="50" t="str">
        <f>IF(AV22=1,AU22,IF(LOWER(AW22)=LOWER(Urlaub!$W$19),Urlaub!$S$19,
IF(LOWER(AW22)=LOWER(Urlaub!$W$20),Urlaub!$S$20,
IF(LOWER(AW22)=LOWER(Urlaub!$W$21),Urlaub!$S$21,
IF(LOWER(AW22)=LOWER(Urlaub!$W$22),Urlaub!$S$22,
IF(LOWER(AW22)=LOWER(Urlaub!$W$23),Urlaub!$S$23,
IF(LOWER(AW22)=LOWER(Urlaub!$W$24),Urlaub!$S$24,""))))))&amp;IF(AND(EXACT(LOWER(AW22),AW22),AW22&lt;&gt;0)," 1/2",""))</f>
        <v/>
      </c>
      <c r="N22" s="53">
        <f t="shared" si="2"/>
        <v>0</v>
      </c>
      <c r="AU22" t="str">
        <f>IF(AV22=1,VLOOKUP($B22,Feiertage!$B$2:$D$49,3,FALSE),"")</f>
        <v/>
      </c>
      <c r="AV22">
        <f>IF(IFERROR(MATCH($B22,Feiertage!$B$2:$B$49,0)&gt;0,0),1,0)</f>
        <v>0</v>
      </c>
      <c r="AW22" s="22">
        <f>IFERROR(HLOOKUP(DAY(B22),Urlaub!$C$4:$AG$16,MONTH(B22)+1,FALSE),0)</f>
        <v>0</v>
      </c>
      <c r="AX22" s="38">
        <f t="shared" si="10"/>
        <v>0</v>
      </c>
      <c r="AY22" s="7">
        <f t="shared" si="4"/>
        <v>2.0833333333333301E-2</v>
      </c>
      <c r="AZ22" s="5">
        <f t="shared" si="5"/>
        <v>0</v>
      </c>
      <c r="BA22" s="39">
        <f t="shared" si="7"/>
        <v>0</v>
      </c>
      <c r="BB22" s="5">
        <f t="shared" si="6"/>
        <v>0.33333333333333331</v>
      </c>
    </row>
    <row r="23" spans="2:54" ht="18.75" x14ac:dyDescent="0.3">
      <c r="B23" s="43">
        <f t="shared" si="8"/>
        <v>41930</v>
      </c>
      <c r="C23" s="44">
        <f t="shared" si="9"/>
        <v>41930</v>
      </c>
      <c r="D23" s="3"/>
      <c r="E23" s="62"/>
      <c r="F23" s="62"/>
      <c r="G23" s="62"/>
      <c r="H23" s="62"/>
      <c r="I23" s="62" t="str">
        <f t="shared" ca="1" si="0"/>
        <v/>
      </c>
      <c r="J23" s="52">
        <f>IF(AND(Feiertage!$G$2&lt;&gt;"ja",AV23=1),IF(AZ23&gt;0,BB23+AZ23,BB23),IF(AZ23=0,0, IF(I23&lt;&gt;"",AZ23-I23,AZ23)))+AX23</f>
        <v>0</v>
      </c>
      <c r="K23" s="62">
        <f>IF(AV23=0,BB23,IF(Feiertage!$G$2="ja","00:00",BB23))</f>
        <v>0.33333333333333331</v>
      </c>
      <c r="L23" s="52" t="str">
        <f t="shared" ca="1" si="11"/>
        <v/>
      </c>
      <c r="M23" s="50" t="str">
        <f>IF(AV23=1,AU23,IF(LOWER(AW23)=LOWER(Urlaub!$W$19),Urlaub!$S$19,
IF(LOWER(AW23)=LOWER(Urlaub!$W$20),Urlaub!$S$20,
IF(LOWER(AW23)=LOWER(Urlaub!$W$21),Urlaub!$S$21,
IF(LOWER(AW23)=LOWER(Urlaub!$W$22),Urlaub!$S$22,
IF(LOWER(AW23)=LOWER(Urlaub!$W$23),Urlaub!$S$23,
IF(LOWER(AW23)=LOWER(Urlaub!$W$24),Urlaub!$S$24,""))))))&amp;IF(AND(EXACT(LOWER(AW23),AW23),AW23&lt;&gt;0)," 1/2",""))</f>
        <v/>
      </c>
      <c r="N23" s="53">
        <f t="shared" si="2"/>
        <v>0</v>
      </c>
      <c r="AU23" t="str">
        <f>IF(AV23=1,VLOOKUP($B23,Feiertage!$B$2:$D$49,3,FALSE),"")</f>
        <v/>
      </c>
      <c r="AV23">
        <f>IF(IFERROR(MATCH($B23,Feiertage!$B$2:$B$49,0)&gt;0,0),1,0)</f>
        <v>0</v>
      </c>
      <c r="AW23" s="22">
        <f>IFERROR(HLOOKUP(DAY(B23),Urlaub!$C$4:$AG$16,MONTH(B23)+1,FALSE),0)</f>
        <v>0</v>
      </c>
      <c r="AX23" s="38">
        <f>IFERROR(IF(OR(AW23=0,AW23="G"),0,IF(EXACT(LOWER(AW23),AW23),0.5*BB23,BB23)),"")</f>
        <v>0</v>
      </c>
      <c r="AY23" s="7">
        <f t="shared" si="4"/>
        <v>2.0833333333333301E-2</v>
      </c>
      <c r="AZ23" s="5">
        <f t="shared" si="5"/>
        <v>0</v>
      </c>
      <c r="BA23" s="39">
        <f t="shared" si="7"/>
        <v>0</v>
      </c>
      <c r="BB23" s="5">
        <f t="shared" si="6"/>
        <v>0.33333333333333331</v>
      </c>
    </row>
    <row r="24" spans="2:54" ht="18.75" x14ac:dyDescent="0.3">
      <c r="B24" s="43">
        <f t="shared" si="8"/>
        <v>41931</v>
      </c>
      <c r="C24" s="44">
        <f t="shared" si="9"/>
        <v>41931</v>
      </c>
      <c r="D24" s="3"/>
      <c r="E24" s="62"/>
      <c r="F24" s="62"/>
      <c r="G24" s="62"/>
      <c r="H24" s="62"/>
      <c r="I24" s="62" t="str">
        <f t="shared" ca="1" si="0"/>
        <v/>
      </c>
      <c r="J24" s="52">
        <f>IF(AND(Feiertage!$G$2&lt;&gt;"ja",AV24=1),IF(AZ24&gt;0,BB24+AZ24,BB24),IF(AZ24=0,0, IF(I24&lt;&gt;"",AZ24-I24,AZ24)))+AX24</f>
        <v>0</v>
      </c>
      <c r="K24" s="62">
        <f>IF(AV24=0,BB24,IF(Feiertage!$G$2="ja","00:00",BB24))</f>
        <v>0</v>
      </c>
      <c r="L24" s="52" t="str">
        <f t="shared" ca="1" si="11"/>
        <v/>
      </c>
      <c r="M24" s="50" t="str">
        <f>IF(AV24=1,AU24,IF(LOWER(AW24)=LOWER(Urlaub!$W$19),Urlaub!$S$19,
IF(LOWER(AW24)=LOWER(Urlaub!$W$20),Urlaub!$S$20,
IF(LOWER(AW24)=LOWER(Urlaub!$W$21),Urlaub!$S$21,
IF(LOWER(AW24)=LOWER(Urlaub!$W$22),Urlaub!$S$22,
IF(LOWER(AW24)=LOWER(Urlaub!$W$23),Urlaub!$S$23,
IF(LOWER(AW24)=LOWER(Urlaub!$W$24),Urlaub!$S$24,""))))))&amp;IF(AND(EXACT(LOWER(AW24),AW24),AW24&lt;&gt;0)," 1/2",""))</f>
        <v/>
      </c>
      <c r="N24" s="53">
        <f t="shared" si="2"/>
        <v>0</v>
      </c>
      <c r="AU24" t="str">
        <f>IF(AV24=1,VLOOKUP($B24,Feiertage!$B$2:$D$49,3,FALSE),"")</f>
        <v/>
      </c>
      <c r="AV24">
        <f>IF(IFERROR(MATCH($B24,Feiertage!$B$2:$B$49,0)&gt;0,0),1,0)</f>
        <v>0</v>
      </c>
      <c r="AW24" s="22">
        <f>IFERROR(HLOOKUP(DAY(B24),Urlaub!$C$4:$AG$16,MONTH(B24)+1,FALSE),0)</f>
        <v>0</v>
      </c>
      <c r="AX24" s="38">
        <f t="shared" si="10"/>
        <v>0</v>
      </c>
      <c r="AY24" s="7">
        <f t="shared" si="4"/>
        <v>2.0833333333333301E-2</v>
      </c>
      <c r="AZ24" s="5">
        <f t="shared" si="5"/>
        <v>0</v>
      </c>
      <c r="BA24" s="39">
        <f t="shared" si="7"/>
        <v>0</v>
      </c>
      <c r="BB24" s="5">
        <f t="shared" si="6"/>
        <v>0</v>
      </c>
    </row>
    <row r="25" spans="2:54" ht="18.75" x14ac:dyDescent="0.3">
      <c r="B25" s="43">
        <f t="shared" si="8"/>
        <v>41932</v>
      </c>
      <c r="C25" s="44">
        <f t="shared" si="9"/>
        <v>41932</v>
      </c>
      <c r="D25" s="3"/>
      <c r="E25" s="62"/>
      <c r="F25" s="62"/>
      <c r="G25" s="62"/>
      <c r="H25" s="62"/>
      <c r="I25" s="62" t="str">
        <f t="shared" ca="1" si="0"/>
        <v/>
      </c>
      <c r="J25" s="52">
        <f>IF(AND(Feiertage!$G$2&lt;&gt;"ja",AV25=1),IF(AZ25&gt;0,BB25+AZ25,BB25),IF(AZ25=0,0, IF(I25&lt;&gt;"",AZ25-I25,AZ25)))+AX25</f>
        <v>0</v>
      </c>
      <c r="K25" s="62">
        <f>IF(AV25=0,BB25,IF(Feiertage!$G$2="ja","00:00",BB25))</f>
        <v>0</v>
      </c>
      <c r="L25" s="52" t="str">
        <f t="shared" ca="1" si="11"/>
        <v/>
      </c>
      <c r="M25" s="50" t="str">
        <f>IF(AV25=1,AU25,IF(LOWER(AW25)=LOWER(Urlaub!$W$19),Urlaub!$S$19,
IF(LOWER(AW25)=LOWER(Urlaub!$W$20),Urlaub!$S$20,
IF(LOWER(AW25)=LOWER(Urlaub!$W$21),Urlaub!$S$21,
IF(LOWER(AW25)=LOWER(Urlaub!$W$22),Urlaub!$S$22,
IF(LOWER(AW25)=LOWER(Urlaub!$W$23),Urlaub!$S$23,
IF(LOWER(AW25)=LOWER(Urlaub!$W$24),Urlaub!$S$24,""))))))&amp;IF(AND(EXACT(LOWER(AW25),AW25),AW25&lt;&gt;0)," 1/2",""))</f>
        <v/>
      </c>
      <c r="N25" s="53">
        <f t="shared" si="2"/>
        <v>0</v>
      </c>
      <c r="AU25" t="str">
        <f>IF(AV25=1,VLOOKUP($B25,Feiertage!$B$2:$D$49,3,FALSE),"")</f>
        <v/>
      </c>
      <c r="AV25">
        <f>IF(IFERROR(MATCH($B25,Feiertage!$B$2:$B$49,0)&gt;0,0),1,0)</f>
        <v>0</v>
      </c>
      <c r="AW25" s="22">
        <f>IFERROR(HLOOKUP(DAY(B25),Urlaub!$C$4:$AG$16,MONTH(B25)+1,FALSE),0)</f>
        <v>0</v>
      </c>
      <c r="AX25" s="38">
        <f t="shared" si="10"/>
        <v>0</v>
      </c>
      <c r="AY25" s="7">
        <f t="shared" si="4"/>
        <v>2.0833333333333301E-2</v>
      </c>
      <c r="AZ25" s="5">
        <f t="shared" si="5"/>
        <v>0</v>
      </c>
      <c r="BA25" s="39">
        <f t="shared" si="7"/>
        <v>0</v>
      </c>
      <c r="BB25" s="5">
        <f t="shared" si="6"/>
        <v>0</v>
      </c>
    </row>
    <row r="26" spans="2:54" ht="18.75" x14ac:dyDescent="0.3">
      <c r="B26" s="43">
        <f t="shared" si="8"/>
        <v>41933</v>
      </c>
      <c r="C26" s="44">
        <f t="shared" si="9"/>
        <v>41933</v>
      </c>
      <c r="D26" s="3"/>
      <c r="E26" s="62"/>
      <c r="F26" s="62"/>
      <c r="G26" s="62"/>
      <c r="H26" s="62"/>
      <c r="I26" s="62" t="str">
        <f t="shared" ca="1" si="0"/>
        <v/>
      </c>
      <c r="J26" s="52">
        <f>IF(AND(Feiertage!$G$2&lt;&gt;"ja",AV26=1),IF(AZ26&gt;0,BB26+AZ26,BB26),IF(AZ26=0,0, IF(I26&lt;&gt;"",AZ26-I26,AZ26)))+AX26</f>
        <v>0</v>
      </c>
      <c r="K26" s="62">
        <f>IF(AV26=0,BB26,IF(Feiertage!$G$2="ja","00:00",BB26))</f>
        <v>0.33333333333333331</v>
      </c>
      <c r="L26" s="52" t="str">
        <f t="shared" ca="1" si="11"/>
        <v/>
      </c>
      <c r="M26" s="50" t="str">
        <f>IF(AV26=1,AU26,IF(LOWER(AW26)=LOWER(Urlaub!$W$19),Urlaub!$S$19,
IF(LOWER(AW26)=LOWER(Urlaub!$W$20),Urlaub!$S$20,
IF(LOWER(AW26)=LOWER(Urlaub!$W$21),Urlaub!$S$21,
IF(LOWER(AW26)=LOWER(Urlaub!$W$22),Urlaub!$S$22,
IF(LOWER(AW26)=LOWER(Urlaub!$W$23),Urlaub!$S$23,
IF(LOWER(AW26)=LOWER(Urlaub!$W$24),Urlaub!$S$24,""))))))&amp;IF(AND(EXACT(LOWER(AW26),AW26),AW26&lt;&gt;0)," 1/2",""))</f>
        <v/>
      </c>
      <c r="N26" s="53">
        <f t="shared" si="2"/>
        <v>0</v>
      </c>
      <c r="AU26" t="str">
        <f>IF(AV26=1,VLOOKUP($B26,Feiertage!$B$2:$D$49,3,FALSE),"")</f>
        <v/>
      </c>
      <c r="AV26">
        <f>IF(IFERROR(MATCH($B26,Feiertage!$B$2:$B$49,0)&gt;0,0),1,0)</f>
        <v>0</v>
      </c>
      <c r="AW26" s="22">
        <f>IFERROR(HLOOKUP(DAY(B26),Urlaub!$C$4:$AG$16,MONTH(B26)+1,FALSE),0)</f>
        <v>0</v>
      </c>
      <c r="AX26" s="38">
        <f t="shared" si="10"/>
        <v>0</v>
      </c>
      <c r="AY26" s="7">
        <f t="shared" si="4"/>
        <v>2.0833333333333332E-2</v>
      </c>
      <c r="AZ26" s="5">
        <f t="shared" si="5"/>
        <v>0</v>
      </c>
      <c r="BA26" s="39">
        <f t="shared" si="7"/>
        <v>0</v>
      </c>
      <c r="BB26" s="5">
        <f t="shared" si="6"/>
        <v>0.33333333333333331</v>
      </c>
    </row>
    <row r="27" spans="2:54" ht="18.75" x14ac:dyDescent="0.3">
      <c r="B27" s="43">
        <f t="shared" si="8"/>
        <v>41934</v>
      </c>
      <c r="C27" s="44">
        <f t="shared" si="9"/>
        <v>41934</v>
      </c>
      <c r="D27" s="3"/>
      <c r="E27" s="62"/>
      <c r="F27" s="62"/>
      <c r="G27" s="62"/>
      <c r="H27" s="62"/>
      <c r="I27" s="62" t="str">
        <f t="shared" ca="1" si="0"/>
        <v/>
      </c>
      <c r="J27" s="52">
        <f>IF(AND(Feiertage!$G$2&lt;&gt;"ja",AV27=1),IF(AZ27&gt;0,BB27+AZ27,BB27),IF(AZ27=0,0, IF(I27&lt;&gt;"",AZ27-I27,AZ27)))+AX27</f>
        <v>0</v>
      </c>
      <c r="K27" s="62">
        <f>IF(AV27=0,BB27,IF(Feiertage!$G$2="ja","00:00",BB27))</f>
        <v>0.33333333333333331</v>
      </c>
      <c r="L27" s="52" t="str">
        <f t="shared" ca="1" si="11"/>
        <v/>
      </c>
      <c r="M27" s="50" t="str">
        <f>IF(AV27=1,AU27,IF(LOWER(AW27)=LOWER(Urlaub!$W$19),Urlaub!$S$19,
IF(LOWER(AW27)=LOWER(Urlaub!$W$20),Urlaub!$S$20,
IF(LOWER(AW27)=LOWER(Urlaub!$W$21),Urlaub!$S$21,
IF(LOWER(AW27)=LOWER(Urlaub!$W$22),Urlaub!$S$22,
IF(LOWER(AW27)=LOWER(Urlaub!$W$23),Urlaub!$S$23,
IF(LOWER(AW27)=LOWER(Urlaub!$W$24),Urlaub!$S$24,""))))))&amp;IF(AND(EXACT(LOWER(AW27),AW27),AW27&lt;&gt;0)," 1/2",""))</f>
        <v/>
      </c>
      <c r="N27" s="53">
        <f t="shared" si="2"/>
        <v>0</v>
      </c>
      <c r="AU27" t="str">
        <f>IF(AV27=1,VLOOKUP($B27,Feiertage!$B$2:$D$49,3,FALSE),"")</f>
        <v/>
      </c>
      <c r="AV27">
        <f>IF(IFERROR(MATCH($B27,Feiertage!$B$2:$B$49,0)&gt;0,0),1,0)</f>
        <v>0</v>
      </c>
      <c r="AW27" s="22">
        <f>IFERROR(HLOOKUP(DAY(B27),Urlaub!$C$4:$AG$16,MONTH(B27)+1,FALSE),0)</f>
        <v>0</v>
      </c>
      <c r="AX27" s="38">
        <f t="shared" si="10"/>
        <v>0</v>
      </c>
      <c r="AY27" s="7">
        <f t="shared" si="4"/>
        <v>2.0833333333333332E-2</v>
      </c>
      <c r="AZ27" s="5">
        <f t="shared" si="5"/>
        <v>0</v>
      </c>
      <c r="BA27" s="39">
        <f t="shared" si="7"/>
        <v>0</v>
      </c>
      <c r="BB27" s="5">
        <f t="shared" si="6"/>
        <v>0.33333333333333331</v>
      </c>
    </row>
    <row r="28" spans="2:54" ht="18.75" x14ac:dyDescent="0.3">
      <c r="B28" s="43">
        <f t="shared" si="8"/>
        <v>41935</v>
      </c>
      <c r="C28" s="44">
        <f t="shared" si="9"/>
        <v>41935</v>
      </c>
      <c r="D28" s="3"/>
      <c r="E28" s="62"/>
      <c r="F28" s="62"/>
      <c r="G28" s="62"/>
      <c r="H28" s="62"/>
      <c r="I28" s="62" t="str">
        <f t="shared" ca="1" si="0"/>
        <v/>
      </c>
      <c r="J28" s="52">
        <f>IF(AND(Feiertage!$G$2&lt;&gt;"ja",AV28=1),IF(AZ28&gt;0,BB28+AZ28,BB28),IF(AZ28=0,0, IF(I28&lt;&gt;"",AZ28-I28,AZ28)))+AX28</f>
        <v>0</v>
      </c>
      <c r="K28" s="62">
        <f>IF(AV28=0,BB28,IF(Feiertage!$G$2="ja","00:00",BB28))</f>
        <v>0.33333333333333331</v>
      </c>
      <c r="L28" s="52" t="str">
        <f t="shared" ca="1" si="11"/>
        <v/>
      </c>
      <c r="M28" s="50" t="str">
        <f>IF(AV28=1,AU28,IF(LOWER(AW28)=LOWER(Urlaub!$W$19),Urlaub!$S$19,
IF(LOWER(AW28)=LOWER(Urlaub!$W$20),Urlaub!$S$20,
IF(LOWER(AW28)=LOWER(Urlaub!$W$21),Urlaub!$S$21,
IF(LOWER(AW28)=LOWER(Urlaub!$W$22),Urlaub!$S$22,
IF(LOWER(AW28)=LOWER(Urlaub!$W$23),Urlaub!$S$23,
IF(LOWER(AW28)=LOWER(Urlaub!$W$24),Urlaub!$S$24,""))))))&amp;IF(AND(EXACT(LOWER(AW28),AW28),AW28&lt;&gt;0)," 1/2",""))</f>
        <v/>
      </c>
      <c r="N28" s="53">
        <f t="shared" si="2"/>
        <v>0</v>
      </c>
      <c r="AU28" t="str">
        <f>IF(AV28=1,VLOOKUP($B28,Feiertage!$B$2:$D$49,3,FALSE),"")</f>
        <v/>
      </c>
      <c r="AV28">
        <f>IF(IFERROR(MATCH($B28,Feiertage!$B$2:$B$49,0)&gt;0,0),1,0)</f>
        <v>0</v>
      </c>
      <c r="AW28" s="22">
        <f>IFERROR(HLOOKUP(DAY(B28),Urlaub!$C$4:$AG$16,MONTH(B28)+1,FALSE),0)</f>
        <v>0</v>
      </c>
      <c r="AX28" s="38">
        <f t="shared" si="10"/>
        <v>0</v>
      </c>
      <c r="AY28" s="7">
        <f t="shared" si="4"/>
        <v>2.0833333333333301E-2</v>
      </c>
      <c r="AZ28" s="5">
        <f t="shared" si="5"/>
        <v>0</v>
      </c>
      <c r="BA28" s="39">
        <f t="shared" si="7"/>
        <v>0</v>
      </c>
      <c r="BB28" s="5">
        <f t="shared" si="6"/>
        <v>0.33333333333333331</v>
      </c>
    </row>
    <row r="29" spans="2:54" ht="18.75" x14ac:dyDescent="0.3">
      <c r="B29" s="43">
        <f t="shared" si="8"/>
        <v>41936</v>
      </c>
      <c r="C29" s="44">
        <f t="shared" si="9"/>
        <v>41936</v>
      </c>
      <c r="D29" s="3"/>
      <c r="E29" s="62"/>
      <c r="F29" s="62"/>
      <c r="G29" s="62"/>
      <c r="H29" s="62"/>
      <c r="I29" s="62" t="str">
        <f t="shared" ca="1" si="0"/>
        <v/>
      </c>
      <c r="J29" s="52">
        <f>IF(AND(Feiertage!$G$2&lt;&gt;"ja",AV29=1),IF(AZ29&gt;0,BB29+AZ29,BB29),IF(AZ29=0,0, IF(I29&lt;&gt;"",AZ29-I29,AZ29)))+AX29</f>
        <v>0</v>
      </c>
      <c r="K29" s="62">
        <f>IF(AV29=0,BB29,IF(Feiertage!$G$2="ja","00:00",BB29))</f>
        <v>0.33333333333333331</v>
      </c>
      <c r="L29" s="52" t="str">
        <f t="shared" ca="1" si="11"/>
        <v/>
      </c>
      <c r="M29" s="50" t="str">
        <f>IF(AV29=1,AU29,IF(LOWER(AW29)=LOWER(Urlaub!$W$19),Urlaub!$S$19,
IF(LOWER(AW29)=LOWER(Urlaub!$W$20),Urlaub!$S$20,
IF(LOWER(AW29)=LOWER(Urlaub!$W$21),Urlaub!$S$21,
IF(LOWER(AW29)=LOWER(Urlaub!$W$22),Urlaub!$S$22,
IF(LOWER(AW29)=LOWER(Urlaub!$W$23),Urlaub!$S$23,
IF(LOWER(AW29)=LOWER(Urlaub!$W$24),Urlaub!$S$24,""))))))&amp;IF(AND(EXACT(LOWER(AW29),AW29),AW29&lt;&gt;0)," 1/2",""))</f>
        <v/>
      </c>
      <c r="N29" s="53">
        <f t="shared" si="2"/>
        <v>0</v>
      </c>
      <c r="AU29" t="str">
        <f>IF(AV29=1,VLOOKUP($B29,Feiertage!$B$2:$D$49,3,FALSE),"")</f>
        <v/>
      </c>
      <c r="AV29">
        <f>IF(IFERROR(MATCH($B29,Feiertage!$B$2:$B$49,0)&gt;0,0),1,0)</f>
        <v>0</v>
      </c>
      <c r="AW29" s="22">
        <f>IFERROR(HLOOKUP(DAY(B29),Urlaub!$C$4:$AG$16,MONTH(B29)+1,FALSE),0)</f>
        <v>0</v>
      </c>
      <c r="AX29" s="38">
        <f t="shared" si="10"/>
        <v>0</v>
      </c>
      <c r="AY29" s="7">
        <f t="shared" si="4"/>
        <v>2.0833333333333301E-2</v>
      </c>
      <c r="AZ29" s="5">
        <f t="shared" si="5"/>
        <v>0</v>
      </c>
      <c r="BA29" s="39">
        <f t="shared" si="7"/>
        <v>0</v>
      </c>
      <c r="BB29" s="5">
        <f t="shared" si="6"/>
        <v>0.33333333333333331</v>
      </c>
    </row>
    <row r="30" spans="2:54" ht="18.75" x14ac:dyDescent="0.3">
      <c r="B30" s="43">
        <f t="shared" si="8"/>
        <v>41937</v>
      </c>
      <c r="C30" s="44">
        <f t="shared" si="9"/>
        <v>41937</v>
      </c>
      <c r="D30" s="3"/>
      <c r="E30" s="62"/>
      <c r="F30" s="62"/>
      <c r="G30" s="62"/>
      <c r="H30" s="62"/>
      <c r="I30" s="62" t="str">
        <f t="shared" ca="1" si="0"/>
        <v/>
      </c>
      <c r="J30" s="52">
        <f>IF(AND(Feiertage!$G$2&lt;&gt;"ja",AV30=1),IF(AZ30&gt;0,BB30+AZ30,BB30),IF(AZ30=0,0, IF(I30&lt;&gt;"",AZ30-I30,AZ30)))+AX30</f>
        <v>0</v>
      </c>
      <c r="K30" s="62">
        <f>IF(AV30=0,BB30,IF(Feiertage!$G$2="ja","00:00",BB30))</f>
        <v>0.33333333333333331</v>
      </c>
      <c r="L30" s="52" t="str">
        <f t="shared" ca="1" si="11"/>
        <v/>
      </c>
      <c r="M30" s="50" t="str">
        <f>IF(AV30=1,AU30,IF(LOWER(AW30)=LOWER(Urlaub!$W$19),Urlaub!$S$19,
IF(LOWER(AW30)=LOWER(Urlaub!$W$20),Urlaub!$S$20,
IF(LOWER(AW30)=LOWER(Urlaub!$W$21),Urlaub!$S$21,
IF(LOWER(AW30)=LOWER(Urlaub!$W$22),Urlaub!$S$22,
IF(LOWER(AW30)=LOWER(Urlaub!$W$23),Urlaub!$S$23,
IF(LOWER(AW30)=LOWER(Urlaub!$W$24),Urlaub!$S$24,""))))))&amp;IF(AND(EXACT(LOWER(AW30),AW30),AW30&lt;&gt;0)," 1/2",""))</f>
        <v/>
      </c>
      <c r="N30" s="53">
        <f t="shared" si="2"/>
        <v>0</v>
      </c>
      <c r="AU30" t="str">
        <f>IF(AV30=1,VLOOKUP($B30,Feiertage!$B$2:$D$49,3,FALSE),"")</f>
        <v/>
      </c>
      <c r="AV30">
        <f>IF(IFERROR(MATCH($B30,Feiertage!$B$2:$B$49,0)&gt;0,0),1,0)</f>
        <v>0</v>
      </c>
      <c r="AW30" s="22">
        <f>IFERROR(HLOOKUP(DAY(B30),Urlaub!$C$4:$AG$16,MONTH(B30)+1,FALSE),0)</f>
        <v>0</v>
      </c>
      <c r="AX30" s="38">
        <f t="shared" si="10"/>
        <v>0</v>
      </c>
      <c r="AY30" s="7">
        <f t="shared" si="4"/>
        <v>2.0833333333333301E-2</v>
      </c>
      <c r="AZ30" s="5">
        <f t="shared" si="5"/>
        <v>0</v>
      </c>
      <c r="BA30" s="39">
        <f t="shared" si="7"/>
        <v>0</v>
      </c>
      <c r="BB30" s="5">
        <f t="shared" si="6"/>
        <v>0.33333333333333331</v>
      </c>
    </row>
    <row r="31" spans="2:54" ht="18.75" x14ac:dyDescent="0.3">
      <c r="B31" s="43">
        <f t="shared" si="8"/>
        <v>41938</v>
      </c>
      <c r="C31" s="44">
        <f t="shared" si="9"/>
        <v>41938</v>
      </c>
      <c r="D31" s="3"/>
      <c r="E31" s="62"/>
      <c r="F31" s="62"/>
      <c r="G31" s="62"/>
      <c r="H31" s="62"/>
      <c r="I31" s="62" t="str">
        <f t="shared" ca="1" si="0"/>
        <v/>
      </c>
      <c r="J31" s="52">
        <f>IF(AND(Feiertage!$G$2&lt;&gt;"ja",AV31=1),IF(AZ31&gt;0,BB31+AZ31,BB31),IF(AZ31=0,0, IF(I31&lt;&gt;"",AZ31-I31,AZ31)))+AX31</f>
        <v>0</v>
      </c>
      <c r="K31" s="62">
        <f>IF(AV31=0,BB31,IF(Feiertage!$G$2="ja","00:00",BB31))</f>
        <v>0</v>
      </c>
      <c r="L31" s="52" t="str">
        <f t="shared" ca="1" si="11"/>
        <v/>
      </c>
      <c r="M31" s="50" t="str">
        <f>IF(AV31=1,AU31,IF(LOWER(AW31)=LOWER(Urlaub!$W$19),Urlaub!$S$19,
IF(LOWER(AW31)=LOWER(Urlaub!$W$20),Urlaub!$S$20,
IF(LOWER(AW31)=LOWER(Urlaub!$W$21),Urlaub!$S$21,
IF(LOWER(AW31)=LOWER(Urlaub!$W$22),Urlaub!$S$22,
IF(LOWER(AW31)=LOWER(Urlaub!$W$23),Urlaub!$S$23,
IF(LOWER(AW31)=LOWER(Urlaub!$W$24),Urlaub!$S$24,""))))))&amp;IF(AND(EXACT(LOWER(AW31),AW31),AW31&lt;&gt;0)," 1/2",""))</f>
        <v/>
      </c>
      <c r="N31" s="53">
        <f t="shared" si="2"/>
        <v>0</v>
      </c>
      <c r="AU31" t="str">
        <f>IF(AV31=1,VLOOKUP($B31,Feiertage!$B$2:$D$49,3,FALSE),"")</f>
        <v/>
      </c>
      <c r="AV31">
        <f>IF(IFERROR(MATCH($B31,Feiertage!$B$2:$B$49,0)&gt;0,0),1,0)</f>
        <v>0</v>
      </c>
      <c r="AW31" s="22">
        <f>IFERROR(HLOOKUP(DAY(B31),Urlaub!$C$4:$AG$16,MONTH(B31)+1,FALSE),0)</f>
        <v>0</v>
      </c>
      <c r="AX31" s="38">
        <f t="shared" si="10"/>
        <v>0</v>
      </c>
      <c r="AY31" s="7">
        <f t="shared" si="4"/>
        <v>2.0833333333333301E-2</v>
      </c>
      <c r="AZ31" s="5">
        <f t="shared" si="5"/>
        <v>0</v>
      </c>
      <c r="BA31" s="39">
        <f t="shared" si="7"/>
        <v>0</v>
      </c>
      <c r="BB31" s="5">
        <f t="shared" si="6"/>
        <v>0</v>
      </c>
    </row>
    <row r="32" spans="2:54" ht="18.75" x14ac:dyDescent="0.3">
      <c r="B32" s="43">
        <f t="shared" si="8"/>
        <v>41939</v>
      </c>
      <c r="C32" s="44">
        <f t="shared" si="9"/>
        <v>41939</v>
      </c>
      <c r="D32" s="3"/>
      <c r="E32" s="62"/>
      <c r="F32" s="62"/>
      <c r="G32" s="62"/>
      <c r="H32" s="62"/>
      <c r="I32" s="62" t="str">
        <f t="shared" ca="1" si="0"/>
        <v/>
      </c>
      <c r="J32" s="52">
        <f>IF(AND(Feiertage!$G$2&lt;&gt;"ja",AV32=1),IF(AZ32&gt;0,BB32+AZ32,BB32),IF(AZ32=0,0, IF(I32&lt;&gt;"",AZ32-I32,AZ32)))+AX32</f>
        <v>0</v>
      </c>
      <c r="K32" s="62">
        <f>IF(AV32=0,BB32,IF(Feiertage!$G$2="ja","00:00",BB32))</f>
        <v>0</v>
      </c>
      <c r="L32" s="52" t="str">
        <f t="shared" ca="1" si="11"/>
        <v/>
      </c>
      <c r="M32" s="50" t="str">
        <f>IF(AV32=1,AU32,IF(LOWER(AW32)=LOWER(Urlaub!$W$19),Urlaub!$S$19,
IF(LOWER(AW32)=LOWER(Urlaub!$W$20),Urlaub!$S$20,
IF(LOWER(AW32)=LOWER(Urlaub!$W$21),Urlaub!$S$21,
IF(LOWER(AW32)=LOWER(Urlaub!$W$22),Urlaub!$S$22,
IF(LOWER(AW32)=LOWER(Urlaub!$W$23),Urlaub!$S$23,
IF(LOWER(AW32)=LOWER(Urlaub!$W$24),Urlaub!$S$24,""))))))&amp;IF(AND(EXACT(LOWER(AW32),AW32),AW32&lt;&gt;0)," 1/2",""))</f>
        <v/>
      </c>
      <c r="N32" s="53">
        <f t="shared" si="2"/>
        <v>0</v>
      </c>
      <c r="AU32" t="str">
        <f>IF(AV32=1,VLOOKUP($B32,Feiertage!$B$2:$D$49,3,FALSE),"")</f>
        <v/>
      </c>
      <c r="AV32">
        <f>IF(IFERROR(MATCH($B32,Feiertage!$B$2:$B$49,0)&gt;0,0),1,0)</f>
        <v>0</v>
      </c>
      <c r="AW32" s="22">
        <f>IFERROR(HLOOKUP(DAY(B32),Urlaub!$C$4:$AG$16,MONTH(B32)+1,FALSE),0)</f>
        <v>0</v>
      </c>
      <c r="AX32" s="38">
        <f t="shared" si="10"/>
        <v>0</v>
      </c>
      <c r="AY32" s="7">
        <f t="shared" si="4"/>
        <v>2.0833333333333301E-2</v>
      </c>
      <c r="AZ32" s="5">
        <f t="shared" si="5"/>
        <v>0</v>
      </c>
      <c r="BA32" s="39">
        <f t="shared" si="7"/>
        <v>0</v>
      </c>
      <c r="BB32" s="5">
        <f t="shared" si="6"/>
        <v>0</v>
      </c>
    </row>
    <row r="33" spans="2:54" ht="18.75" x14ac:dyDescent="0.3">
      <c r="B33" s="43">
        <f>IF(B32&lt;&gt;"",IF(MONTH($B$1)&lt;MONTH(B32+1),"",B32+1),"")</f>
        <v>41940</v>
      </c>
      <c r="C33" s="44">
        <f t="shared" si="9"/>
        <v>41940</v>
      </c>
      <c r="D33" s="3"/>
      <c r="E33" s="62"/>
      <c r="F33" s="62"/>
      <c r="G33" s="62"/>
      <c r="H33" s="62"/>
      <c r="I33" s="62" t="str">
        <f t="shared" ca="1" si="0"/>
        <v/>
      </c>
      <c r="J33" s="52">
        <f>IF(B33&lt;&gt;"",IF(AND(Feiertage!$G$2&lt;&gt;"ja",AV33=1),IF(AZ33&gt;0,BB33+AZ33,BB33),IF(AZ33=0,0, IF(I33&lt;&gt;"",AZ33-I33,AZ33)))+AX33,"")</f>
        <v>0</v>
      </c>
      <c r="K33" s="62">
        <f>IF(B33&lt;&gt;"",IF(AV33=0,BB33,IF(Feiertage!$G$2="ja","00:00",BB33)),"")</f>
        <v>0.33333333333333331</v>
      </c>
      <c r="L33" s="52" t="str">
        <f t="shared" ca="1" si="11"/>
        <v/>
      </c>
      <c r="M33" s="50" t="str">
        <f>IF(AV33=1,AU33,IF(LOWER(AW33)=LOWER(Urlaub!$W$19),Urlaub!$S$19,
IF(LOWER(AW33)=LOWER(Urlaub!$W$20),Urlaub!$S$20,
IF(LOWER(AW33)=LOWER(Urlaub!$W$21),Urlaub!$S$21,
IF(LOWER(AW33)=LOWER(Urlaub!$W$22),Urlaub!$S$22,
IF(LOWER(AW33)=LOWER(Urlaub!$W$23),Urlaub!$S$23,
IF(LOWER(AW33)=LOWER(Urlaub!$W$24),Urlaub!$S$24,""))))))&amp;IF(AND(EXACT(LOWER(AW33),AW33),AW33&lt;&gt;0)," 1/2",""))</f>
        <v/>
      </c>
      <c r="N33" s="53">
        <f>IF(J33&lt;&gt;"",24*J33*IF(WEEKDAY(C33)=WEEKDAY($P$6),$S$6,
IF(WEEKDAY(C33)=WEEKDAY($P$7),$S$7,
IF(WEEKDAY(C33)=WEEKDAY($P$8),$S$8,
IF(WEEKDAY(C33)=WEEKDAY($P$9),$S$9,
IF(WEEKDAY(C33)=WEEKDAY($P$10),$S$10,
IF(WEEKDAY(C33)=WEEKDAY($P$11),$S$11,
IF(WEEKDAY(C33)=WEEKDAY($P$12),$S$12,""))))))),"")</f>
        <v>0</v>
      </c>
      <c r="AU33" t="str">
        <f>IF(AV33=1,VLOOKUP($B33,Feiertage!$B$2:$D$49,3,FALSE),"")</f>
        <v/>
      </c>
      <c r="AV33">
        <f>IF(IFERROR(MATCH($B33,Feiertage!$B$2:$B$49,0)&gt;0,0),1,0)</f>
        <v>0</v>
      </c>
      <c r="AW33" s="22">
        <f>IFERROR(HLOOKUP(DAY(B33),Urlaub!$C$4:$AG$16,MONTH(B33)+1,FALSE),0)</f>
        <v>0</v>
      </c>
      <c r="AX33" s="38">
        <f t="shared" si="10"/>
        <v>0</v>
      </c>
      <c r="AY33" s="7">
        <f t="shared" si="4"/>
        <v>2.0833333333333332E-2</v>
      </c>
      <c r="AZ33" s="5">
        <f t="shared" si="5"/>
        <v>0</v>
      </c>
      <c r="BA33" s="39">
        <f t="shared" si="7"/>
        <v>0</v>
      </c>
      <c r="BB33" s="5">
        <f t="shared" si="6"/>
        <v>0.33333333333333331</v>
      </c>
    </row>
    <row r="34" spans="2:54" ht="18.75" x14ac:dyDescent="0.3">
      <c r="B34" s="43">
        <f t="shared" ref="B34:B35" si="12">IF(B33&lt;&gt;"",IF(MONTH($B$1)&lt;MONTH(B33+1),"",B33+1),"")</f>
        <v>41941</v>
      </c>
      <c r="C34" s="44">
        <f t="shared" si="9"/>
        <v>41941</v>
      </c>
      <c r="D34" s="3"/>
      <c r="E34" s="62"/>
      <c r="F34" s="62"/>
      <c r="G34" s="62"/>
      <c r="H34" s="62"/>
      <c r="I34" s="62" t="str">
        <f t="shared" ca="1" si="0"/>
        <v/>
      </c>
      <c r="J34" s="52">
        <f>IF(B34&lt;&gt;"",IF(AND(Feiertage!$G$2&lt;&gt;"ja",AV34=1),IF(AZ34&gt;0,BB34+AZ34,BB34),IF(AZ34=0,0, IF(I34&lt;&gt;"",AZ34-I34,AZ34)))+AX34,"")</f>
        <v>0</v>
      </c>
      <c r="K34" s="62">
        <f>IF(B34&lt;&gt;"",IF(AV34=0,BB34,IF(Feiertage!$G$2="ja","00:00",BB34)),"")</f>
        <v>0.33333333333333331</v>
      </c>
      <c r="L34" s="52" t="str">
        <f t="shared" ca="1" si="11"/>
        <v/>
      </c>
      <c r="M34" s="50" t="str">
        <f>IF(AV34=1,AU34,IF(LOWER(AW34)=LOWER(Urlaub!$W$19),Urlaub!$S$19,
IF(LOWER(AW34)=LOWER(Urlaub!$W$20),Urlaub!$S$20,
IF(LOWER(AW34)=LOWER(Urlaub!$W$21),Urlaub!$S$21,
IF(LOWER(AW34)=LOWER(Urlaub!$W$22),Urlaub!$S$22,
IF(LOWER(AW34)=LOWER(Urlaub!$W$23),Urlaub!$S$23,
IF(LOWER(AW34)=LOWER(Urlaub!$W$24),Urlaub!$S$24,""))))))&amp;IF(AND(EXACT(LOWER(AW34),AW34),AW34&lt;&gt;0)," 1/2",""))</f>
        <v/>
      </c>
      <c r="N34" s="53">
        <f>IF(J34&lt;&gt;"",24*J34*IF(WEEKDAY(C34)=WEEKDAY($P$6),$S$6,
IF(WEEKDAY(C34)=WEEKDAY($P$7),$S$7,
IF(WEEKDAY(C34)=WEEKDAY($P$8),$S$8,
IF(WEEKDAY(C34)=WEEKDAY($P$9),$S$9,
IF(WEEKDAY(C34)=WEEKDAY($P$10),$S$10,
IF(WEEKDAY(C34)=WEEKDAY($P$11),$S$11,
IF(WEEKDAY(C34)=WEEKDAY($P$12),$S$12,""))))))),"")</f>
        <v>0</v>
      </c>
      <c r="AU34" t="str">
        <f>IF(AV34=1,VLOOKUP($B34,Feiertage!$B$2:$D$49,3,FALSE),"")</f>
        <v/>
      </c>
      <c r="AV34">
        <f>IF(IFERROR(MATCH($B34,Feiertage!$B$2:$B$49,0)&gt;0,0),1,0)</f>
        <v>0</v>
      </c>
      <c r="AW34" s="22">
        <f>IFERROR(HLOOKUP(DAY(B34),Urlaub!$C$4:$AG$16,MONTH(B34)+1,FALSE),0)</f>
        <v>0</v>
      </c>
      <c r="AX34" s="38">
        <f t="shared" si="10"/>
        <v>0</v>
      </c>
      <c r="AY34" s="7">
        <f t="shared" si="4"/>
        <v>2.0833333333333332E-2</v>
      </c>
      <c r="AZ34" s="5">
        <f t="shared" si="5"/>
        <v>0</v>
      </c>
      <c r="BA34" s="39">
        <f t="shared" si="7"/>
        <v>0</v>
      </c>
      <c r="BB34" s="5">
        <f t="shared" si="6"/>
        <v>0.33333333333333331</v>
      </c>
    </row>
    <row r="35" spans="2:54" ht="19.5" thickBot="1" x14ac:dyDescent="0.35">
      <c r="B35" s="70">
        <f t="shared" si="12"/>
        <v>41942</v>
      </c>
      <c r="C35" s="71">
        <f t="shared" si="9"/>
        <v>41942</v>
      </c>
      <c r="D35" s="72"/>
      <c r="E35" s="73"/>
      <c r="F35" s="73"/>
      <c r="G35" s="73"/>
      <c r="H35" s="74"/>
      <c r="I35" s="74" t="str">
        <f t="shared" ca="1" si="0"/>
        <v/>
      </c>
      <c r="J35" s="76">
        <f>IF(B35&lt;&gt;"",IF(AND(Feiertage!$G$2&lt;&gt;"ja",AV35=1),IF(AZ35&gt;0,BB35+AZ35,BB35),IF(AZ35=0,0, IF(I35&lt;&gt;"",AZ35-I35,AZ35)))+AX35,"")</f>
        <v>0</v>
      </c>
      <c r="K35" s="73">
        <f>IF(B35&lt;&gt;"",IF(AV35=0,BB35,IF(Feiertage!$G$2="ja","00:00",BB35)),"")</f>
        <v>0.33333333333333331</v>
      </c>
      <c r="L35" s="52" t="str">
        <f t="shared" ca="1" si="11"/>
        <v/>
      </c>
      <c r="M35" s="50" t="str">
        <f>IF(AV35=1,AU35,IF(LOWER(AW35)=LOWER(Urlaub!$W$19),Urlaub!$S$19,
IF(LOWER(AW35)=LOWER(Urlaub!$W$20),Urlaub!$S$20,
IF(LOWER(AW35)=LOWER(Urlaub!$W$21),Urlaub!$S$21,
IF(LOWER(AW35)=LOWER(Urlaub!$W$22),Urlaub!$S$22,
IF(LOWER(AW35)=LOWER(Urlaub!$W$23),Urlaub!$S$23,
IF(LOWER(AW35)=LOWER(Urlaub!$W$24),Urlaub!$S$24,""))))))&amp;IF(AND(EXACT(LOWER(AW35),AW35),AW35&lt;&gt;0)," 1/2",""))</f>
        <v/>
      </c>
      <c r="N35" s="77">
        <f>IF(J35&lt;&gt;"",24*J35*IF(WEEKDAY(C35)=WEEKDAY($P$6),$S$6,
IF(WEEKDAY(C35)=WEEKDAY($P$7),$S$7,
IF(WEEKDAY(C35)=WEEKDAY($P$8),$S$8,
IF(WEEKDAY(C35)=WEEKDAY($P$9),$S$9,
IF(WEEKDAY(C35)=WEEKDAY($P$10),$S$10,
IF(WEEKDAY(C35)=WEEKDAY($P$11),$S$11,
IF(WEEKDAY(C35)=WEEKDAY($P$12),$S$12,""))))))),"")</f>
        <v>0</v>
      </c>
      <c r="AU35" t="str">
        <f>IF(AV35=1,VLOOKUP($B35,Feiertage!$B$2:$D$49,3,FALSE),"")</f>
        <v/>
      </c>
      <c r="AV35">
        <f>IF(IFERROR(MATCH($B35,Feiertage!$B$2:$B$49,0)&gt;0,0),1,0)</f>
        <v>0</v>
      </c>
      <c r="AW35" s="22">
        <f>IFERROR(HLOOKUP(DAY(B35),Urlaub!$C$4:$AG$16,MONTH(B35)+1,FALSE),0)</f>
        <v>0</v>
      </c>
      <c r="AX35" s="38">
        <f t="shared" si="10"/>
        <v>0</v>
      </c>
      <c r="AY35" s="7">
        <f t="shared" si="4"/>
        <v>2.0833333333333301E-2</v>
      </c>
      <c r="AZ35" s="5">
        <f t="shared" si="5"/>
        <v>0</v>
      </c>
      <c r="BA35" s="39">
        <f t="shared" si="7"/>
        <v>0</v>
      </c>
      <c r="BB35" s="5">
        <f t="shared" si="6"/>
        <v>0.33333333333333331</v>
      </c>
    </row>
    <row r="36" spans="2:54" ht="5.25" customHeight="1" thickTop="1" thickBot="1" x14ac:dyDescent="0.3">
      <c r="B36" s="1"/>
      <c r="H36" s="75"/>
      <c r="I36" s="75"/>
      <c r="J36" s="75"/>
      <c r="K36" s="2"/>
      <c r="L36" s="75"/>
    </row>
    <row r="37" spans="2:54" ht="24" thickBot="1" x14ac:dyDescent="0.4">
      <c r="B37" s="139" t="s">
        <v>74</v>
      </c>
      <c r="C37" s="140"/>
      <c r="D37" s="140"/>
      <c r="E37" s="140"/>
      <c r="F37" s="140"/>
      <c r="G37" s="140"/>
      <c r="H37" s="140"/>
      <c r="I37" s="141"/>
      <c r="J37" s="47">
        <f>SUM(J5:J35)</f>
        <v>0.33333333333333331</v>
      </c>
      <c r="K37" s="47">
        <f t="shared" ref="K37" si="13">SUM(K5:K35)</f>
        <v>7.6666666666666634</v>
      </c>
      <c r="L37" s="47">
        <f ca="1">SUM(L5:L35)</f>
        <v>0</v>
      </c>
      <c r="M37" s="47">
        <f>SUM(AX5:AX35)</f>
        <v>0</v>
      </c>
      <c r="N37" s="48">
        <f t="shared" ref="N37" si="14">SUM(N5:N35)</f>
        <v>0</v>
      </c>
    </row>
    <row r="38" spans="2:54" x14ac:dyDescent="0.25">
      <c r="B38" s="1"/>
    </row>
    <row r="39" spans="2:54" x14ac:dyDescent="0.25">
      <c r="B39" s="1"/>
    </row>
  </sheetData>
  <sheetProtection algorithmName="SHA-512" hashValue="g+ayTRNFuwOvU3edmJBNTyGNJzVtCc55VIdAK5LCYr8MQJ/QPPJ0pEkmGYJjth3T08Ba04LfgL8Kxwe6ARldSA==" saltValue="INI0RrfbGtjoQhtwzJAvoQ==" spinCount="100000" sheet="1" selectLockedCells="1"/>
  <customSheetViews>
    <customSheetView guid="{4652D98A-10A8-4A41-BE02-6BC110D8BB01}" showGridLines="0">
      <pane xSplit="4" ySplit="4" topLeftCell="E20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7">
    <mergeCell ref="E3:H3"/>
    <mergeCell ref="B37:I37"/>
    <mergeCell ref="B1:N1"/>
    <mergeCell ref="U4:V4"/>
    <mergeCell ref="P4:S4"/>
    <mergeCell ref="P15:V15"/>
    <mergeCell ref="P16:V18"/>
  </mergeCells>
  <conditionalFormatting sqref="B5:N35">
    <cfRule type="expression" dxfId="21" priority="2" stopIfTrue="1">
      <formula>WEEKDAY($B5,2)&gt;5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6682CA57-248C-4CE3-BF34-713436FD46C5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B5:N35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B39"/>
  <sheetViews>
    <sheetView showGridLines="0" workbookViewId="0">
      <pane xSplit="4" ySplit="4" topLeftCell="E5" activePane="bottomRight" state="frozen"/>
      <selection activeCell="B1" sqref="B1:N1"/>
      <selection pane="topRight" activeCell="B1" sqref="B1:N1"/>
      <selection pane="bottomLeft" activeCell="B1" sqref="B1:N1"/>
      <selection pane="bottomRight" activeCell="E5" sqref="E5"/>
    </sheetView>
  </sheetViews>
  <sheetFormatPr baseColWidth="10" defaultRowHeight="15" x14ac:dyDescent="0.25"/>
  <cols>
    <col min="1" max="1" width="2.28515625" customWidth="1"/>
    <col min="2" max="2" width="8.85546875" customWidth="1"/>
    <col min="3" max="3" width="7.28515625" customWidth="1"/>
    <col min="4" max="4" width="1" customWidth="1"/>
    <col min="5" max="8" width="7.7109375" customWidth="1"/>
    <col min="9" max="9" width="8" customWidth="1"/>
    <col min="10" max="10" width="12.42578125" customWidth="1"/>
    <col min="11" max="11" width="12.140625" customWidth="1"/>
    <col min="12" max="12" width="12.85546875" customWidth="1"/>
    <col min="13" max="13" width="16.5703125" bestFit="1" customWidth="1"/>
    <col min="14" max="14" width="17.85546875" customWidth="1"/>
    <col min="15" max="15" width="4.28515625" customWidth="1"/>
    <col min="16" max="16" width="18.7109375" customWidth="1"/>
    <col min="17" max="17" width="12.28515625" customWidth="1"/>
    <col min="18" max="18" width="11.140625" customWidth="1"/>
    <col min="19" max="19" width="15.7109375" customWidth="1"/>
    <col min="20" max="20" width="4.140625" customWidth="1"/>
    <col min="21" max="21" width="29.140625" customWidth="1"/>
    <col min="22" max="22" width="16" customWidth="1"/>
    <col min="47" max="55" width="13.7109375" customWidth="1"/>
  </cols>
  <sheetData>
    <row r="1" spans="1:54" ht="24.75" customHeight="1" thickBot="1" x14ac:dyDescent="0.5">
      <c r="A1" s="117">
        <v>41639</v>
      </c>
      <c r="B1" s="142">
        <f>EDATE(Januar!$A$1,10)</f>
        <v>41943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54" s="21" customFormat="1" ht="24.75" customHeight="1" thickBot="1" x14ac:dyDescent="0.5">
      <c r="B2" s="59"/>
      <c r="C2" s="59"/>
      <c r="D2" s="59"/>
      <c r="E2" s="60"/>
      <c r="F2" s="60"/>
      <c r="G2" s="60"/>
      <c r="H2" s="60"/>
      <c r="I2" s="59"/>
      <c r="J2" s="59"/>
      <c r="K2" s="59"/>
      <c r="L2" s="59"/>
      <c r="M2" s="59"/>
      <c r="N2" s="59"/>
    </row>
    <row r="3" spans="1:54" ht="19.5" thickBot="1" x14ac:dyDescent="0.35">
      <c r="B3" s="58"/>
      <c r="C3" s="58"/>
      <c r="D3" s="58"/>
      <c r="E3" s="145" t="s">
        <v>0</v>
      </c>
      <c r="F3" s="146"/>
      <c r="G3" s="146"/>
      <c r="H3" s="147"/>
      <c r="I3" s="58"/>
      <c r="J3" s="58"/>
      <c r="K3" s="58"/>
      <c r="L3" s="58"/>
      <c r="M3" s="58"/>
      <c r="N3" s="58"/>
      <c r="O3" s="2"/>
    </row>
    <row r="4" spans="1:54" ht="19.5" thickBot="1" x14ac:dyDescent="0.35">
      <c r="B4" s="41" t="s">
        <v>4</v>
      </c>
      <c r="C4" s="41" t="s">
        <v>5</v>
      </c>
      <c r="D4" s="42"/>
      <c r="E4" s="41" t="s">
        <v>1</v>
      </c>
      <c r="F4" s="41" t="s">
        <v>2</v>
      </c>
      <c r="G4" s="41" t="s">
        <v>1</v>
      </c>
      <c r="H4" s="41" t="s">
        <v>2</v>
      </c>
      <c r="I4" s="41" t="s">
        <v>3</v>
      </c>
      <c r="J4" s="41" t="s">
        <v>7</v>
      </c>
      <c r="K4" s="41" t="s">
        <v>6</v>
      </c>
      <c r="L4" s="41" t="s">
        <v>11</v>
      </c>
      <c r="M4" s="41" t="s">
        <v>56</v>
      </c>
      <c r="N4" s="41" t="s">
        <v>71</v>
      </c>
      <c r="O4" s="20"/>
      <c r="P4" s="150" t="s">
        <v>10</v>
      </c>
      <c r="Q4" s="151"/>
      <c r="R4" s="151"/>
      <c r="S4" s="152"/>
      <c r="U4" s="148" t="s">
        <v>81</v>
      </c>
      <c r="V4" s="149"/>
      <c r="AU4" s="36" t="s">
        <v>46</v>
      </c>
      <c r="AV4" s="36" t="s">
        <v>46</v>
      </c>
      <c r="AW4" s="37" t="s">
        <v>66</v>
      </c>
      <c r="AX4" s="36" t="s">
        <v>67</v>
      </c>
      <c r="AY4" s="6" t="s">
        <v>3</v>
      </c>
      <c r="AZ4" s="36" t="s">
        <v>7</v>
      </c>
      <c r="BA4" s="36" t="s">
        <v>72</v>
      </c>
      <c r="BB4" s="6" t="s">
        <v>6</v>
      </c>
    </row>
    <row r="5" spans="1:54" ht="21.75" thickBot="1" x14ac:dyDescent="0.4">
      <c r="B5" s="45">
        <f>B1</f>
        <v>41943</v>
      </c>
      <c r="C5" s="46">
        <f>B5</f>
        <v>41943</v>
      </c>
      <c r="D5" s="3"/>
      <c r="E5" s="61"/>
      <c r="F5" s="61"/>
      <c r="G5" s="61"/>
      <c r="H5" s="61"/>
      <c r="I5" s="61" t="str">
        <f t="shared" ref="I5:I35" ca="1" si="0">IF(AZ5=0,"",IF(AY5=0,"",IF(OR(B5&lt;=TODAY(),AZ5),AY5,"")))</f>
        <v/>
      </c>
      <c r="J5" s="49">
        <f>IF(AND(Feiertage!$G$2&lt;&gt;"ja",AV5=1),IF(AZ5&gt;0,BB5+AZ5,BB5),IF(AZ5=0,0, IF(I5&lt;&gt;"",AZ5-I5,AZ5)))+AX5</f>
        <v>0</v>
      </c>
      <c r="K5" s="61">
        <f>IF(AV5=0,BB5,IF(Feiertage!$G$2="ja","00:00",BB5))</f>
        <v>0.33333333333333331</v>
      </c>
      <c r="L5" s="52" t="str">
        <f t="shared" ref="L5:L18" ca="1" si="1">IF(OR(B5&lt;=TODAY(),J5,AW5="G"),IF(J5&lt;&gt;"",IF(J5-K5=0,"",J5-K5),IF(K5&lt;&gt;"",-K5,"")),"")</f>
        <v/>
      </c>
      <c r="M5" s="50" t="str">
        <f>IF(AV5=1,AU5,IF(LOWER(AW5)=LOWER(Urlaub!$W$19),Urlaub!$S$19,
IF(LOWER(AW5)=LOWER(Urlaub!$W$20),Urlaub!$S$20,
IF(LOWER(AW5)=LOWER(Urlaub!$W$21),Urlaub!$S$21,
IF(LOWER(AW5)=LOWER(Urlaub!$W$22),Urlaub!$S$22,
IF(LOWER(AW5)=LOWER(Urlaub!$W$23),Urlaub!$S$23,
IF(LOWER(AW5)=LOWER(Urlaub!$W$24),Urlaub!$S$24,""))))))&amp;IF(AND(EXACT(LOWER(AW5),AW5),AW5&lt;&gt;0)," 1/2",""))</f>
        <v/>
      </c>
      <c r="N5" s="51">
        <f t="shared" ref="N5:N32" si="2">24*J5*IF(WEEKDAY(C5)=WEEKDAY($P$6),$S$6,
IF(WEEKDAY(C5)=WEEKDAY($P$7),$S$7,
IF(WEEKDAY(C5)=WEEKDAY($P$8),$S$8,
IF(WEEKDAY(C5)=WEEKDAY($P$9),$S$9,
IF(WEEKDAY(C5)=WEEKDAY($P$10),$S$10,
IF(WEEKDAY(C5)=WEEKDAY($P$11),$S$11,
IF(WEEKDAY(C5)=WEEKDAY($P$12),$S$12,"")))))))</f>
        <v>0</v>
      </c>
      <c r="P5" s="41" t="s">
        <v>8</v>
      </c>
      <c r="Q5" s="41" t="s">
        <v>6</v>
      </c>
      <c r="R5" s="41" t="s">
        <v>3</v>
      </c>
      <c r="S5" s="41" t="s">
        <v>70</v>
      </c>
      <c r="U5" s="112" t="str">
        <f xml:space="preserve"> "Übertrag aus " &amp; IF( MONTH(B1)=1, YEAR(B1)-1, TEXT(EDATE(B1,-1),"MMMM"))</f>
        <v>Übertrag aus Oktober</v>
      </c>
      <c r="V5" s="130">
        <f ca="1">IF(MONTH(B1)&gt;1,INDIRECT(TEXT(EDATE(B1,-1),"MMMM")&amp;"!v10"),"")</f>
        <v>-50.999999999999986</v>
      </c>
      <c r="AU5" t="str">
        <f>IF(AV5=1,VLOOKUP($B5,Feiertage!$B$2:$D$49,3,FALSE),"")</f>
        <v/>
      </c>
      <c r="AV5">
        <f>IF(IFERROR(MATCH($B5,Feiertage!$B$2:$B$49,0)&gt;0,0),1,0)</f>
        <v>0</v>
      </c>
      <c r="AW5" s="22">
        <f>IFERROR(HLOOKUP(DAY(B5),Urlaub!$C$4:$AG$16,MONTH(B5)+1,FALSE),0)</f>
        <v>0</v>
      </c>
      <c r="AX5" s="38">
        <f t="shared" ref="AX5:AX16" si="3">IFERROR(IF(AW5=0,0,IF(EXACT(LOWER(AW5),AW5),0.5*BB5,BB5)),"")</f>
        <v>0</v>
      </c>
      <c r="AY5" s="7">
        <f t="shared" ref="AY5:AY35" si="4">IFERROR(IF(WEEKDAY(C5)=WEEKDAY($P$6),$R$6,
IF(WEEKDAY(C5)=WEEKDAY($P$7),$R$7,
IF(WEEKDAY(C5)=WEEKDAY($P$8),$R$8,
IF(WEEKDAY(C5)=WEEKDAY($P$9),$R$9,
IF(WEEKDAY(C5)=WEEKDAY($P$10),$R$10,
IF(WEEKDAY(C5)=WEEKDAY($P$11),$R$11,
IF(WEEKDAY(C5)=WEEKDAY($P$12),$R$12,""))))))),"")</f>
        <v>2.0833333333333301E-2</v>
      </c>
      <c r="AZ5" s="5">
        <f t="shared" ref="AZ5:AZ35" si="5">IF(F5,IF(E5,IF(E5&gt;F5,F5+"24:00"-E5,F5-E5),0),0)+IF(G5,IF(G5,IF(G5&gt;H5,H5+"24:00"-G5,H5-G5),0),0)</f>
        <v>0</v>
      </c>
      <c r="BA5" s="39">
        <f>AZ5*24</f>
        <v>0</v>
      </c>
      <c r="BB5" s="5">
        <f t="shared" ref="BB5:BB35" si="6">IFERROR(IF(WEEKDAY(C5)=WEEKDAY($P$6),$Q$6,
IF(WEEKDAY(C5)=WEEKDAY($P$7),$Q$7,
IF(WEEKDAY(C5)=WEEKDAY($P$8),$Q$8,
IF(WEEKDAY(C5)=WEEKDAY($P$9),$Q$9,
IF(WEEKDAY(C5)=WEEKDAY($P$10),$Q$10,
IF(WEEKDAY(C5)=WEEKDAY($P$11),$Q$11,
IF(WEEKDAY(C5)=WEEKDAY($P$12),$Q$12,""))))))),"")</f>
        <v>0.33333333333333331</v>
      </c>
    </row>
    <row r="6" spans="1:54" ht="21" x14ac:dyDescent="0.35">
      <c r="B6" s="43">
        <f>B5+1</f>
        <v>41944</v>
      </c>
      <c r="C6" s="44">
        <f>B6</f>
        <v>41944</v>
      </c>
      <c r="D6" s="3"/>
      <c r="E6" s="62"/>
      <c r="F6" s="62"/>
      <c r="G6" s="62"/>
      <c r="H6" s="62"/>
      <c r="I6" s="62" t="str">
        <f t="shared" ca="1" si="0"/>
        <v/>
      </c>
      <c r="J6" s="52">
        <f>IF(AND(Feiertage!$G$2&lt;&gt;"ja",AV6=1),IF(AZ6&gt;0,BB6+AZ6,BB6),IF(AZ6=0,0, IF(I6&lt;&gt;"",AZ6-I6,AZ6)))+AX6</f>
        <v>0</v>
      </c>
      <c r="K6" s="62">
        <f>IF(AV6=0,BB6,IF(Feiertage!$G$2="ja","00:00",BB6))</f>
        <v>0.33333333333333331</v>
      </c>
      <c r="L6" s="52" t="str">
        <f t="shared" ca="1" si="1"/>
        <v/>
      </c>
      <c r="M6" s="50" t="str">
        <f>IF(AV6=1,AU6,IF(LOWER(AW6)=LOWER(Urlaub!$W$19),Urlaub!$S$19,
IF(LOWER(AW6)=LOWER(Urlaub!$W$20),Urlaub!$S$20,
IF(LOWER(AW6)=LOWER(Urlaub!$W$21),Urlaub!$S$21,
IF(LOWER(AW6)=LOWER(Urlaub!$W$22),Urlaub!$S$22,
IF(LOWER(AW6)=LOWER(Urlaub!$W$23),Urlaub!$S$23,
IF(LOWER(AW6)=LOWER(Urlaub!$W$24),Urlaub!$S$24,""))))))&amp;IF(AND(EXACT(LOWER(AW6),AW6),AW6&lt;&gt;0)," 1/2",""))</f>
        <v/>
      </c>
      <c r="N6" s="53">
        <f t="shared" si="2"/>
        <v>0</v>
      </c>
      <c r="P6" s="54">
        <v>41639</v>
      </c>
      <c r="Q6" s="63">
        <v>0.33333333333333331</v>
      </c>
      <c r="R6" s="63">
        <v>2.0833333333333332E-2</v>
      </c>
      <c r="S6" s="64"/>
      <c r="U6" s="114" t="s">
        <v>6</v>
      </c>
      <c r="V6" s="113">
        <f>SUM(K5:K35)</f>
        <v>7.3333333333333304</v>
      </c>
      <c r="AU6" t="str">
        <f>IF(AV6=1,VLOOKUP($B6,Feiertage!$B$2:$D$49,3,FALSE),"")</f>
        <v/>
      </c>
      <c r="AV6">
        <f>IF(IFERROR(MATCH($B6,Feiertage!$B$2:$B$49,0)&gt;0,0),1,0)</f>
        <v>0</v>
      </c>
      <c r="AW6" s="22">
        <f>IFERROR(HLOOKUP(DAY(B6),Urlaub!$C$4:$AG$16,MONTH(B6)+1,FALSE),0)</f>
        <v>0</v>
      </c>
      <c r="AX6" s="38">
        <f t="shared" si="3"/>
        <v>0</v>
      </c>
      <c r="AY6" s="7">
        <f t="shared" si="4"/>
        <v>2.0833333333333301E-2</v>
      </c>
      <c r="AZ6" s="5">
        <f t="shared" si="5"/>
        <v>0</v>
      </c>
      <c r="BA6" s="39">
        <f t="shared" ref="BA6:BA35" si="7">AZ6*24</f>
        <v>0</v>
      </c>
      <c r="BB6" s="5">
        <f t="shared" si="6"/>
        <v>0.33333333333333331</v>
      </c>
    </row>
    <row r="7" spans="1:54" ht="21" x14ac:dyDescent="0.35">
      <c r="B7" s="43">
        <f t="shared" ref="B7:B32" si="8">B6+1</f>
        <v>41945</v>
      </c>
      <c r="C7" s="44">
        <f t="shared" ref="C7:C35" si="9">B7</f>
        <v>41945</v>
      </c>
      <c r="D7" s="3"/>
      <c r="E7" s="62"/>
      <c r="F7" s="62"/>
      <c r="G7" s="62"/>
      <c r="H7" s="62"/>
      <c r="I7" s="62" t="str">
        <f t="shared" ca="1" si="0"/>
        <v/>
      </c>
      <c r="J7" s="52">
        <f>IF(AND(Feiertage!$G$2&lt;&gt;"ja",AV7=1),IF(AZ7&gt;0,BB7+AZ7,BB7),IF(AZ7=0,0, IF(I7&lt;&gt;"",AZ7-I7,AZ7)))+AX7</f>
        <v>0</v>
      </c>
      <c r="K7" s="62">
        <f>IF(AV7=0,BB7,IF(Feiertage!$G$2="ja","00:00",BB7))</f>
        <v>0</v>
      </c>
      <c r="L7" s="52" t="str">
        <f t="shared" ca="1" si="1"/>
        <v/>
      </c>
      <c r="M7" s="50" t="str">
        <f>IF(AV7=1,AU7,IF(LOWER(AW7)=LOWER(Urlaub!$W$19),Urlaub!$S$19,
IF(LOWER(AW7)=LOWER(Urlaub!$W$20),Urlaub!$S$20,
IF(LOWER(AW7)=LOWER(Urlaub!$W$21),Urlaub!$S$21,
IF(LOWER(AW7)=LOWER(Urlaub!$W$22),Urlaub!$S$22,
IF(LOWER(AW7)=LOWER(Urlaub!$W$23),Urlaub!$S$23,
IF(LOWER(AW7)=LOWER(Urlaub!$W$24),Urlaub!$S$24,""))))))&amp;IF(AND(EXACT(LOWER(AW7),AW7),AW7&lt;&gt;0)," 1/2",""))</f>
        <v/>
      </c>
      <c r="N7" s="53">
        <f t="shared" si="2"/>
        <v>0</v>
      </c>
      <c r="P7" s="55">
        <v>41640</v>
      </c>
      <c r="Q7" s="65">
        <v>0.33333333333333331</v>
      </c>
      <c r="R7" s="63">
        <v>2.0833333333333332E-2</v>
      </c>
      <c r="S7" s="66"/>
      <c r="U7" s="114" t="s">
        <v>7</v>
      </c>
      <c r="V7" s="113">
        <f>SUM(J5:J35)</f>
        <v>0</v>
      </c>
      <c r="AU7" t="str">
        <f>IF(AV7=1,VLOOKUP($B7,Feiertage!$B$2:$D$49,3,FALSE),"")</f>
        <v/>
      </c>
      <c r="AV7">
        <f>IF(IFERROR(MATCH($B7,Feiertage!$B$2:$B$49,0)&gt;0,0),1,0)</f>
        <v>0</v>
      </c>
      <c r="AW7" s="22">
        <f>IFERROR(HLOOKUP(DAY(B7),Urlaub!$C$4:$AG$16,MONTH(B7)+1,FALSE),0)</f>
        <v>0</v>
      </c>
      <c r="AX7" s="38">
        <f t="shared" si="3"/>
        <v>0</v>
      </c>
      <c r="AY7" s="7">
        <f t="shared" si="4"/>
        <v>2.0833333333333301E-2</v>
      </c>
      <c r="AZ7" s="5">
        <f t="shared" si="5"/>
        <v>0</v>
      </c>
      <c r="BA7" s="39">
        <f t="shared" si="7"/>
        <v>0</v>
      </c>
      <c r="BB7" s="5">
        <f t="shared" si="6"/>
        <v>0</v>
      </c>
    </row>
    <row r="8" spans="1:54" ht="21" x14ac:dyDescent="0.35">
      <c r="B8" s="43">
        <f t="shared" si="8"/>
        <v>41946</v>
      </c>
      <c r="C8" s="44">
        <f t="shared" si="9"/>
        <v>41946</v>
      </c>
      <c r="D8" s="3"/>
      <c r="E8" s="62"/>
      <c r="F8" s="62"/>
      <c r="G8" s="62"/>
      <c r="H8" s="62"/>
      <c r="I8" s="62" t="str">
        <f t="shared" ca="1" si="0"/>
        <v/>
      </c>
      <c r="J8" s="52">
        <f>IF(AND(Feiertage!$G$2&lt;&gt;"ja",AV8=1),IF(AZ8&gt;0,BB8+AZ8,BB8),IF(AZ8=0,0, IF(I8&lt;&gt;"",AZ8-I8,AZ8)))+AX8</f>
        <v>0</v>
      </c>
      <c r="K8" s="62">
        <f>IF(AV8=0,BB8,IF(Feiertage!$G$2="ja","00:00",BB8))</f>
        <v>0</v>
      </c>
      <c r="L8" s="52" t="str">
        <f t="shared" ca="1" si="1"/>
        <v/>
      </c>
      <c r="M8" s="50" t="str">
        <f>IF(AV8=1,AU8,IF(LOWER(AW8)=LOWER(Urlaub!$W$19),Urlaub!$S$19,
IF(LOWER(AW8)=LOWER(Urlaub!$W$20),Urlaub!$S$20,
IF(LOWER(AW8)=LOWER(Urlaub!$W$21),Urlaub!$S$21,
IF(LOWER(AW8)=LOWER(Urlaub!$W$22),Urlaub!$S$22,
IF(LOWER(AW8)=LOWER(Urlaub!$W$23),Urlaub!$S$23,
IF(LOWER(AW8)=LOWER(Urlaub!$W$24),Urlaub!$S$24,""))))))&amp;IF(AND(EXACT(LOWER(AW8),AW8),AW8&lt;&gt;0)," 1/2",""))</f>
        <v/>
      </c>
      <c r="N8" s="53">
        <f t="shared" si="2"/>
        <v>0</v>
      </c>
      <c r="P8" s="55">
        <v>41641</v>
      </c>
      <c r="Q8" s="65">
        <v>0.33333333333333331</v>
      </c>
      <c r="R8" s="63">
        <v>2.0833333333333301E-2</v>
      </c>
      <c r="S8" s="66"/>
      <c r="U8" s="115" t="str">
        <f xml:space="preserve"> "Saldo " &amp; TEXT(B1,"MMMM")</f>
        <v>Saldo November</v>
      </c>
      <c r="V8" s="132">
        <f ca="1">SUM(L5:L35)</f>
        <v>0</v>
      </c>
      <c r="AU8" t="str">
        <f>IF(AV8=1,VLOOKUP($B8,Feiertage!$B$2:$D$49,3,FALSE),"")</f>
        <v/>
      </c>
      <c r="AV8">
        <f>IF(IFERROR(MATCH($B8,Feiertage!$B$2:$B$49,0)&gt;0,0),1,0)</f>
        <v>0</v>
      </c>
      <c r="AW8" s="22">
        <f>IFERROR(HLOOKUP(DAY(B8),Urlaub!$C$4:$AG$16,MONTH(B8)+1,FALSE),0)</f>
        <v>0</v>
      </c>
      <c r="AX8" s="38">
        <f t="shared" si="3"/>
        <v>0</v>
      </c>
      <c r="AY8" s="7">
        <f t="shared" si="4"/>
        <v>2.0833333333333301E-2</v>
      </c>
      <c r="AZ8" s="5">
        <f t="shared" si="5"/>
        <v>0</v>
      </c>
      <c r="BA8" s="39">
        <f t="shared" si="7"/>
        <v>0</v>
      </c>
      <c r="BB8" s="5">
        <f t="shared" si="6"/>
        <v>0</v>
      </c>
    </row>
    <row r="9" spans="1:54" ht="18.75" x14ac:dyDescent="0.3">
      <c r="B9" s="43">
        <f t="shared" si="8"/>
        <v>41947</v>
      </c>
      <c r="C9" s="44">
        <f t="shared" si="9"/>
        <v>41947</v>
      </c>
      <c r="D9" s="3"/>
      <c r="E9" s="62"/>
      <c r="F9" s="62"/>
      <c r="G9" s="62"/>
      <c r="H9" s="62"/>
      <c r="I9" s="62" t="str">
        <f t="shared" ca="1" si="0"/>
        <v/>
      </c>
      <c r="J9" s="52">
        <f>IF(AND(Feiertage!$G$2&lt;&gt;"ja",AV9=1),IF(AZ9&gt;0,BB9+AZ9,BB9),IF(AZ9=0,0, IF(I9&lt;&gt;"",AZ9-I9,AZ9)))+AX9</f>
        <v>0</v>
      </c>
      <c r="K9" s="62">
        <f>IF(AV9=0,BB9,IF(Feiertage!$G$2="ja","00:00",BB9))</f>
        <v>0.33333333333333331</v>
      </c>
      <c r="L9" s="52" t="str">
        <f t="shared" ca="1" si="1"/>
        <v/>
      </c>
      <c r="M9" s="50" t="str">
        <f>IF(AV9=1,AU9,IF(LOWER(AW9)=LOWER(Urlaub!$W$19),Urlaub!$S$19,
IF(LOWER(AW9)=LOWER(Urlaub!$W$20),Urlaub!$S$20,
IF(LOWER(AW9)=LOWER(Urlaub!$W$21),Urlaub!$S$21,
IF(LOWER(AW9)=LOWER(Urlaub!$W$22),Urlaub!$S$22,
IF(LOWER(AW9)=LOWER(Urlaub!$W$23),Urlaub!$S$23,
IF(LOWER(AW9)=LOWER(Urlaub!$W$24),Urlaub!$S$24,""))))))&amp;IF(AND(EXACT(LOWER(AW9),AW9),AW9&lt;&gt;0)," 1/2",""))</f>
        <v/>
      </c>
      <c r="N9" s="53">
        <f t="shared" si="2"/>
        <v>0</v>
      </c>
      <c r="P9" s="55">
        <v>41642</v>
      </c>
      <c r="Q9" s="65">
        <v>0.33333333333333331</v>
      </c>
      <c r="R9" s="63">
        <v>2.0833333333333301E-2</v>
      </c>
      <c r="S9" s="66"/>
      <c r="U9" s="131" t="s">
        <v>85</v>
      </c>
      <c r="V9" s="134"/>
      <c r="AU9" t="str">
        <f>IF(AV9=1,VLOOKUP($B9,Feiertage!$B$2:$D$49,3,FALSE),"")</f>
        <v/>
      </c>
      <c r="AV9">
        <f>IF(IFERROR(MATCH($B9,Feiertage!$B$2:$B$49,0)&gt;0,0),1,0)</f>
        <v>0</v>
      </c>
      <c r="AW9" s="22">
        <f>IFERROR(HLOOKUP(DAY(B9),Urlaub!$C$4:$AG$16,MONTH(B9)+1,FALSE),0)</f>
        <v>0</v>
      </c>
      <c r="AX9" s="38">
        <f t="shared" si="3"/>
        <v>0</v>
      </c>
      <c r="AY9" s="7">
        <f t="shared" si="4"/>
        <v>2.0833333333333332E-2</v>
      </c>
      <c r="AZ9" s="5">
        <f t="shared" si="5"/>
        <v>0</v>
      </c>
      <c r="BA9" s="39">
        <f t="shared" si="7"/>
        <v>0</v>
      </c>
      <c r="BB9" s="5">
        <f t="shared" si="6"/>
        <v>0.33333333333333331</v>
      </c>
    </row>
    <row r="10" spans="1:54" ht="21.75" thickBot="1" x14ac:dyDescent="0.4">
      <c r="B10" s="43">
        <f t="shared" si="8"/>
        <v>41948</v>
      </c>
      <c r="C10" s="44">
        <f t="shared" si="9"/>
        <v>41948</v>
      </c>
      <c r="D10" s="3"/>
      <c r="E10" s="62"/>
      <c r="F10" s="62"/>
      <c r="G10" s="62"/>
      <c r="H10" s="62"/>
      <c r="I10" s="62" t="str">
        <f t="shared" ca="1" si="0"/>
        <v/>
      </c>
      <c r="J10" s="52">
        <f>IF(AND(Feiertage!$G$2&lt;&gt;"ja",AV10=1),IF(AZ10&gt;0,BB10+AZ10,BB10),IF(AZ10=0,0, IF(I10&lt;&gt;"",AZ10-I10,AZ10)))+AX10</f>
        <v>0</v>
      </c>
      <c r="K10" s="62">
        <f>IF(AV10=0,BB10,IF(Feiertage!$G$2="ja","00:00",BB10))</f>
        <v>0.33333333333333331</v>
      </c>
      <c r="L10" s="52" t="str">
        <f t="shared" ca="1" si="1"/>
        <v/>
      </c>
      <c r="M10" s="50" t="str">
        <f>IF(AV10=1,AU10,IF(LOWER(AW10)=LOWER(Urlaub!$W$19),Urlaub!$S$19,
IF(LOWER(AW10)=LOWER(Urlaub!$W$20),Urlaub!$S$20,
IF(LOWER(AW10)=LOWER(Urlaub!$W$21),Urlaub!$S$21,
IF(LOWER(AW10)=LOWER(Urlaub!$W$22),Urlaub!$S$22,
IF(LOWER(AW10)=LOWER(Urlaub!$W$23),Urlaub!$S$23,
IF(LOWER(AW10)=LOWER(Urlaub!$W$24),Urlaub!$S$24,""))))))&amp;IF(AND(EXACT(LOWER(AW10),AW10),AW10&lt;&gt;0)," 1/2",""))</f>
        <v/>
      </c>
      <c r="N10" s="53">
        <f t="shared" si="2"/>
        <v>0</v>
      </c>
      <c r="P10" s="55">
        <v>41643</v>
      </c>
      <c r="Q10" s="65">
        <v>0.33333333333333331</v>
      </c>
      <c r="R10" s="63">
        <v>2.0833333333333301E-2</v>
      </c>
      <c r="S10" s="66"/>
      <c r="U10" s="116" t="str">
        <f xml:space="preserve"> "Übertrag in " &amp;  IF( MONTH(B1)=12, YEAR(B1)+1, TEXT(EDATE(B1,1),"MMMM"))</f>
        <v>Übertrag in Dezember</v>
      </c>
      <c r="V10" s="133">
        <f ca="1">IF(V5="",0,V5)+V8+V9</f>
        <v>-50.999999999999986</v>
      </c>
      <c r="AU10" t="str">
        <f>IF(AV10=1,VLOOKUP($B10,Feiertage!$B$2:$D$49,3,FALSE),"")</f>
        <v/>
      </c>
      <c r="AV10">
        <f>IF(IFERROR(MATCH($B10,Feiertage!$B$2:$B$49,0)&gt;0,0),1,0)</f>
        <v>0</v>
      </c>
      <c r="AW10" s="22">
        <f>IFERROR(HLOOKUP(DAY(B10),Urlaub!$C$4:$AG$16,MONTH(B10)+1,FALSE),0)</f>
        <v>0</v>
      </c>
      <c r="AX10" s="38">
        <f t="shared" si="3"/>
        <v>0</v>
      </c>
      <c r="AY10" s="7">
        <f t="shared" si="4"/>
        <v>2.0833333333333332E-2</v>
      </c>
      <c r="AZ10" s="5">
        <f t="shared" si="5"/>
        <v>0</v>
      </c>
      <c r="BA10" s="39">
        <f t="shared" si="7"/>
        <v>0</v>
      </c>
      <c r="BB10" s="5">
        <f t="shared" si="6"/>
        <v>0.33333333333333331</v>
      </c>
    </row>
    <row r="11" spans="1:54" ht="18.75" x14ac:dyDescent="0.3">
      <c r="B11" s="43">
        <f t="shared" si="8"/>
        <v>41949</v>
      </c>
      <c r="C11" s="44">
        <f t="shared" si="9"/>
        <v>41949</v>
      </c>
      <c r="D11" s="3"/>
      <c r="E11" s="62"/>
      <c r="F11" s="62"/>
      <c r="G11" s="62"/>
      <c r="H11" s="62"/>
      <c r="I11" s="62" t="str">
        <f t="shared" ca="1" si="0"/>
        <v/>
      </c>
      <c r="J11" s="52">
        <f>IF(AND(Feiertage!$G$2&lt;&gt;"ja",AV11=1),IF(AZ11&gt;0,BB11+AZ11,BB11),IF(AZ11=0,0, IF(I11&lt;&gt;"",AZ11-I11,AZ11)))+AX11</f>
        <v>0</v>
      </c>
      <c r="K11" s="62">
        <f>IF(AV11=0,BB11,IF(Feiertage!$G$2="ja","00:00",BB11))</f>
        <v>0.33333333333333331</v>
      </c>
      <c r="L11" s="52" t="str">
        <f t="shared" ca="1" si="1"/>
        <v/>
      </c>
      <c r="M11" s="50" t="str">
        <f>IF(AV11=1,AU11,IF(LOWER(AW11)=LOWER(Urlaub!$W$19),Urlaub!$S$19,
IF(LOWER(AW11)=LOWER(Urlaub!$W$20),Urlaub!$S$20,
IF(LOWER(AW11)=LOWER(Urlaub!$W$21),Urlaub!$S$21,
IF(LOWER(AW11)=LOWER(Urlaub!$W$22),Urlaub!$S$22,
IF(LOWER(AW11)=LOWER(Urlaub!$W$23),Urlaub!$S$23,
IF(LOWER(AW11)=LOWER(Urlaub!$W$24),Urlaub!$S$24,""))))))&amp;IF(AND(EXACT(LOWER(AW11),AW11),AW11&lt;&gt;0)," 1/2",""))</f>
        <v/>
      </c>
      <c r="N11" s="53">
        <f t="shared" si="2"/>
        <v>0</v>
      </c>
      <c r="O11" s="21"/>
      <c r="P11" s="79">
        <v>41644</v>
      </c>
      <c r="Q11" s="67">
        <v>0</v>
      </c>
      <c r="R11" s="63">
        <v>2.0833333333333301E-2</v>
      </c>
      <c r="S11" s="66"/>
      <c r="AU11" t="str">
        <f>IF(AV11=1,VLOOKUP($B11,Feiertage!$B$2:$D$49,3,FALSE),"")</f>
        <v/>
      </c>
      <c r="AV11">
        <f>IF(IFERROR(MATCH($B11,Feiertage!$B$2:$B$49,0)&gt;0,0),1,0)</f>
        <v>0</v>
      </c>
      <c r="AW11" s="22">
        <f>IFERROR(HLOOKUP(DAY(B11),Urlaub!$C$4:$AG$16,MONTH(B11)+1,FALSE),0)</f>
        <v>0</v>
      </c>
      <c r="AX11" s="38">
        <f t="shared" si="3"/>
        <v>0</v>
      </c>
      <c r="AY11" s="7">
        <f t="shared" si="4"/>
        <v>2.0833333333333301E-2</v>
      </c>
      <c r="AZ11" s="5">
        <f>IF(F11,IF(E11,IF(E11&gt;F11,F11+"24:00"-E11,F11-E11),0),0)+IF(G11,IF(G11,IF(G11&gt;H11,H11+"24:00"-G11,H11-G11),0),0)</f>
        <v>0</v>
      </c>
      <c r="BA11" s="39">
        <f t="shared" si="7"/>
        <v>0</v>
      </c>
      <c r="BB11" s="5">
        <f t="shared" si="6"/>
        <v>0.33333333333333331</v>
      </c>
    </row>
    <row r="12" spans="1:54" ht="19.5" thickBot="1" x14ac:dyDescent="0.35">
      <c r="B12" s="43">
        <f t="shared" si="8"/>
        <v>41950</v>
      </c>
      <c r="C12" s="44">
        <f t="shared" si="9"/>
        <v>41950</v>
      </c>
      <c r="D12" s="3"/>
      <c r="E12" s="62"/>
      <c r="F12" s="62"/>
      <c r="G12" s="62"/>
      <c r="H12" s="62"/>
      <c r="I12" s="62" t="str">
        <f t="shared" ca="1" si="0"/>
        <v/>
      </c>
      <c r="J12" s="52">
        <f>IF(AND(Feiertage!$G$2&lt;&gt;"ja",AV12=1),IF(AZ12&gt;0,BB12+AZ12,BB12),IF(AZ12=0,0, IF(I12&lt;&gt;"",AZ12-I12,AZ12)))+AX12</f>
        <v>0</v>
      </c>
      <c r="K12" s="62">
        <f>IF(AV12=0,BB12,IF(Feiertage!$G$2="ja","00:00",BB12))</f>
        <v>0.33333333333333331</v>
      </c>
      <c r="L12" s="52" t="str">
        <f t="shared" ca="1" si="1"/>
        <v/>
      </c>
      <c r="M12" s="50" t="str">
        <f>IF(AV12=1,AU12,IF(LOWER(AW12)=LOWER(Urlaub!$W$19),Urlaub!$S$19,
IF(LOWER(AW12)=LOWER(Urlaub!$W$20),Urlaub!$S$20,
IF(LOWER(AW12)=LOWER(Urlaub!$W$21),Urlaub!$S$21,
IF(LOWER(AW12)=LOWER(Urlaub!$W$22),Urlaub!$S$22,
IF(LOWER(AW12)=LOWER(Urlaub!$W$23),Urlaub!$S$23,
IF(LOWER(AW12)=LOWER(Urlaub!$W$24),Urlaub!$S$24,""))))))&amp;IF(AND(EXACT(LOWER(AW12),AW12),AW12&lt;&gt;0)," 1/2",""))</f>
        <v/>
      </c>
      <c r="N12" s="53">
        <f t="shared" si="2"/>
        <v>0</v>
      </c>
      <c r="P12" s="80">
        <v>41645</v>
      </c>
      <c r="Q12" s="68">
        <v>0</v>
      </c>
      <c r="R12" s="110">
        <v>2.0833333333333301E-2</v>
      </c>
      <c r="S12" s="69"/>
      <c r="AU12" t="str">
        <f>IF(AV12=1,VLOOKUP($B12,Feiertage!$B$2:$D$49,3,FALSE),"")</f>
        <v/>
      </c>
      <c r="AV12">
        <f>IF(IFERROR(MATCH($B12,Feiertage!$B$2:$B$49,0)&gt;0,0),1,0)</f>
        <v>0</v>
      </c>
      <c r="AW12" s="22">
        <f>IFERROR(HLOOKUP(DAY(B12),Urlaub!$C$4:$AG$16,MONTH(B12)+1,FALSE),0)</f>
        <v>0</v>
      </c>
      <c r="AX12" s="38">
        <f t="shared" si="3"/>
        <v>0</v>
      </c>
      <c r="AY12" s="7">
        <f t="shared" si="4"/>
        <v>2.0833333333333301E-2</v>
      </c>
      <c r="AZ12" s="5">
        <f>IF(F12,IF(E12,IF(E12&gt;F12,F12+"24:00"-E12,F12-E12),0),0)+IF(G12,IF(G12,IF(G12&gt;H12,H12+"24:00"-G12,H12-G12),0),0)</f>
        <v>0</v>
      </c>
      <c r="BA12" s="39">
        <f t="shared" si="7"/>
        <v>0</v>
      </c>
      <c r="BB12" s="5">
        <f t="shared" si="6"/>
        <v>0.33333333333333331</v>
      </c>
    </row>
    <row r="13" spans="1:54" ht="19.5" thickBot="1" x14ac:dyDescent="0.35">
      <c r="B13" s="43">
        <f t="shared" si="8"/>
        <v>41951</v>
      </c>
      <c r="C13" s="44">
        <f t="shared" si="9"/>
        <v>41951</v>
      </c>
      <c r="D13" s="3"/>
      <c r="E13" s="62"/>
      <c r="F13" s="62"/>
      <c r="G13" s="62"/>
      <c r="H13" s="62"/>
      <c r="I13" s="62" t="str">
        <f t="shared" ca="1" si="0"/>
        <v/>
      </c>
      <c r="J13" s="52">
        <f>IF(AND(Feiertage!$G$2&lt;&gt;"ja",AV13=1),IF(AZ13&gt;0,BB13+AZ13,BB13),IF(AZ13=0,0, IF(I13&lt;&gt;"",AZ13-I13,AZ13)))+AX13</f>
        <v>0</v>
      </c>
      <c r="K13" s="62">
        <f>IF(AV13=0,BB13,IF(Feiertage!$G$2="ja","00:00",BB13))</f>
        <v>0.33333333333333331</v>
      </c>
      <c r="L13" s="52" t="str">
        <f t="shared" ca="1" si="1"/>
        <v/>
      </c>
      <c r="M13" s="50" t="str">
        <f>IF(AV13=1,AU13,IF(LOWER(AW13)=LOWER(Urlaub!$W$19),Urlaub!$S$19,
IF(LOWER(AW13)=LOWER(Urlaub!$W$20),Urlaub!$S$20,
IF(LOWER(AW13)=LOWER(Urlaub!$W$21),Urlaub!$S$21,
IF(LOWER(AW13)=LOWER(Urlaub!$W$22),Urlaub!$S$22,
IF(LOWER(AW13)=LOWER(Urlaub!$W$23),Urlaub!$S$23,
IF(LOWER(AW13)=LOWER(Urlaub!$W$24),Urlaub!$S$24,""))))))&amp;IF(AND(EXACT(LOWER(AW13),AW13),AW13&lt;&gt;0)," 1/2",""))</f>
        <v/>
      </c>
      <c r="N13" s="53">
        <f t="shared" si="2"/>
        <v>0</v>
      </c>
      <c r="P13" s="56" t="s">
        <v>9</v>
      </c>
      <c r="Q13" s="57">
        <f>SUM(Q6:Q12)</f>
        <v>1.6666666666666665</v>
      </c>
      <c r="R13" s="4"/>
      <c r="Y13" s="7"/>
      <c r="AU13" t="str">
        <f>IF(AV13=1,VLOOKUP($B13,Feiertage!$B$2:$D$49,3,FALSE),"")</f>
        <v/>
      </c>
      <c r="AV13">
        <f>IF(IFERROR(MATCH($B13,Feiertage!$B$2:$B$49,0)&gt;0,0),1,0)</f>
        <v>0</v>
      </c>
      <c r="AW13" s="22">
        <f>IFERROR(HLOOKUP(DAY(B13),Urlaub!$C$4:$AG$16,MONTH(B13)+1,FALSE),0)</f>
        <v>0</v>
      </c>
      <c r="AX13" s="38">
        <f t="shared" si="3"/>
        <v>0</v>
      </c>
      <c r="AY13" s="7">
        <f t="shared" si="4"/>
        <v>2.0833333333333301E-2</v>
      </c>
      <c r="AZ13" s="5">
        <f t="shared" si="5"/>
        <v>0</v>
      </c>
      <c r="BA13" s="39">
        <f t="shared" si="7"/>
        <v>0</v>
      </c>
      <c r="BB13" s="5">
        <f t="shared" si="6"/>
        <v>0.33333333333333331</v>
      </c>
    </row>
    <row r="14" spans="1:54" ht="18.75" x14ac:dyDescent="0.3">
      <c r="B14" s="43">
        <f t="shared" si="8"/>
        <v>41952</v>
      </c>
      <c r="C14" s="44">
        <f t="shared" si="9"/>
        <v>41952</v>
      </c>
      <c r="D14" s="3"/>
      <c r="E14" s="62"/>
      <c r="F14" s="62"/>
      <c r="G14" s="62"/>
      <c r="H14" s="62"/>
      <c r="I14" s="62" t="str">
        <f t="shared" ca="1" si="0"/>
        <v/>
      </c>
      <c r="J14" s="52">
        <f>IF(AND(Feiertage!$G$2&lt;&gt;"ja",AV14=1),IF(AZ14&gt;0,BB14+AZ14,BB14),IF(AZ14=0,0, IF(I14&lt;&gt;"",AZ14-I14,AZ14)))+AX14</f>
        <v>0</v>
      </c>
      <c r="K14" s="62">
        <f>IF(AV14=0,BB14,IF(Feiertage!$G$2="ja","00:00",BB14))</f>
        <v>0</v>
      </c>
      <c r="L14" s="52" t="str">
        <f t="shared" ca="1" si="1"/>
        <v/>
      </c>
      <c r="M14" s="50" t="str">
        <f>IF(AV14=1,AU14,IF(LOWER(AW14)=LOWER(Urlaub!$W$19),Urlaub!$S$19,
IF(LOWER(AW14)=LOWER(Urlaub!$W$20),Urlaub!$S$20,
IF(LOWER(AW14)=LOWER(Urlaub!$W$21),Urlaub!$S$21,
IF(LOWER(AW14)=LOWER(Urlaub!$W$22),Urlaub!$S$22,
IF(LOWER(AW14)=LOWER(Urlaub!$W$23),Urlaub!$S$23,
IF(LOWER(AW14)=LOWER(Urlaub!$W$24),Urlaub!$S$24,""))))))&amp;IF(AND(EXACT(LOWER(AW14),AW14),AW14&lt;&gt;0)," 1/2",""))</f>
        <v/>
      </c>
      <c r="N14" s="53">
        <f t="shared" si="2"/>
        <v>0</v>
      </c>
      <c r="O14" s="6"/>
      <c r="AU14" t="str">
        <f>IF(AV14=1,VLOOKUP($B14,Feiertage!$B$2:$D$49,3,FALSE),"")</f>
        <v/>
      </c>
      <c r="AV14">
        <f>IF(IFERROR(MATCH($B14,Feiertage!$B$2:$B$49,0)&gt;0,0),1,0)</f>
        <v>0</v>
      </c>
      <c r="AW14" s="22">
        <f>IFERROR(HLOOKUP(DAY(B14),Urlaub!$C$4:$AG$16,MONTH(B14)+1,FALSE),0)</f>
        <v>0</v>
      </c>
      <c r="AX14" s="38">
        <f t="shared" si="3"/>
        <v>0</v>
      </c>
      <c r="AY14" s="7">
        <f t="shared" si="4"/>
        <v>2.0833333333333301E-2</v>
      </c>
      <c r="AZ14" s="5">
        <f t="shared" si="5"/>
        <v>0</v>
      </c>
      <c r="BA14" s="39">
        <f t="shared" si="7"/>
        <v>0</v>
      </c>
      <c r="BB14" s="5">
        <f t="shared" si="6"/>
        <v>0</v>
      </c>
    </row>
    <row r="15" spans="1:54" ht="19.5" thickBot="1" x14ac:dyDescent="0.35">
      <c r="B15" s="43">
        <f t="shared" si="8"/>
        <v>41953</v>
      </c>
      <c r="C15" s="44">
        <f t="shared" si="9"/>
        <v>41953</v>
      </c>
      <c r="D15" s="3"/>
      <c r="E15" s="62"/>
      <c r="F15" s="62"/>
      <c r="G15" s="62"/>
      <c r="H15" s="62"/>
      <c r="I15" s="62" t="str">
        <f t="shared" ca="1" si="0"/>
        <v/>
      </c>
      <c r="J15" s="52">
        <f>IF(AND(Feiertage!$G$2&lt;&gt;"ja",AV15=1),IF(AZ15&gt;0,BB15+AZ15,BB15),IF(AZ15=0,0, IF(I15&lt;&gt;"",AZ15-I15,AZ15)))+AX15</f>
        <v>0</v>
      </c>
      <c r="K15" s="62">
        <f>IF(AV15=0,BB15,IF(Feiertage!$G$2="ja","00:00",BB15))</f>
        <v>0</v>
      </c>
      <c r="L15" s="52" t="str">
        <f t="shared" ca="1" si="1"/>
        <v/>
      </c>
      <c r="M15" s="50" t="str">
        <f>IF(AV15=1,AU15,IF(LOWER(AW15)=LOWER(Urlaub!$W$19),Urlaub!$S$19,
IF(LOWER(AW15)=LOWER(Urlaub!$W$20),Urlaub!$S$20,
IF(LOWER(AW15)=LOWER(Urlaub!$W$21),Urlaub!$S$21,
IF(LOWER(AW15)=LOWER(Urlaub!$W$22),Urlaub!$S$22,
IF(LOWER(AW15)=LOWER(Urlaub!$W$23),Urlaub!$S$23,
IF(LOWER(AW15)=LOWER(Urlaub!$W$24),Urlaub!$S$24,""))))))&amp;IF(AND(EXACT(LOWER(AW15),AW15),AW15&lt;&gt;0)," 1/2",""))</f>
        <v/>
      </c>
      <c r="N15" s="53">
        <f t="shared" si="2"/>
        <v>0</v>
      </c>
      <c r="P15" s="153" t="s">
        <v>86</v>
      </c>
      <c r="Q15" s="154"/>
      <c r="R15" s="154"/>
      <c r="S15" s="154"/>
      <c r="T15" s="154"/>
      <c r="U15" s="154"/>
      <c r="V15" s="154"/>
      <c r="AU15" t="str">
        <f>IF(AV15=1,VLOOKUP($B15,Feiertage!$B$2:$D$49,3,FALSE),"")</f>
        <v/>
      </c>
      <c r="AV15">
        <f>IF(IFERROR(MATCH($B15,Feiertage!$B$2:$B$49,0)&gt;0,0),1,0)</f>
        <v>0</v>
      </c>
      <c r="AW15" s="22">
        <f>IFERROR(HLOOKUP(DAY(B15),Urlaub!$C$4:$AG$16,MONTH(B15)+1,FALSE),0)</f>
        <v>0</v>
      </c>
      <c r="AX15" s="38">
        <f t="shared" si="3"/>
        <v>0</v>
      </c>
      <c r="AY15" s="7">
        <f t="shared" si="4"/>
        <v>2.0833333333333301E-2</v>
      </c>
      <c r="AZ15" s="5">
        <f t="shared" si="5"/>
        <v>0</v>
      </c>
      <c r="BA15" s="39">
        <f t="shared" si="7"/>
        <v>0</v>
      </c>
      <c r="BB15" s="5">
        <f t="shared" si="6"/>
        <v>0</v>
      </c>
    </row>
    <row r="16" spans="1:54" ht="18.75" x14ac:dyDescent="0.3">
      <c r="B16" s="43">
        <f t="shared" si="8"/>
        <v>41954</v>
      </c>
      <c r="C16" s="44">
        <f t="shared" si="9"/>
        <v>41954</v>
      </c>
      <c r="D16" s="3"/>
      <c r="E16" s="62"/>
      <c r="F16" s="62"/>
      <c r="G16" s="62"/>
      <c r="H16" s="62"/>
      <c r="I16" s="62" t="str">
        <f t="shared" ca="1" si="0"/>
        <v/>
      </c>
      <c r="J16" s="52">
        <f>IF(AND(Feiertage!$G$2&lt;&gt;"ja",AV16=1),IF(AZ16&gt;0,BB16+AZ16,BB16),IF(AZ16=0,0, IF(I16&lt;&gt;"",AZ16-I16,AZ16)))+AX16</f>
        <v>0</v>
      </c>
      <c r="K16" s="62">
        <f>IF(AV16=0,BB16,IF(Feiertage!$G$2="ja","00:00",BB16))</f>
        <v>0.33333333333333331</v>
      </c>
      <c r="L16" s="52" t="str">
        <f t="shared" ca="1" si="1"/>
        <v/>
      </c>
      <c r="M16" s="50" t="str">
        <f>IF(AV16=1,AU16,IF(LOWER(AW16)=LOWER(Urlaub!$W$19),Urlaub!$S$19,
IF(LOWER(AW16)=LOWER(Urlaub!$W$20),Urlaub!$S$20,
IF(LOWER(AW16)=LOWER(Urlaub!$W$21),Urlaub!$S$21,
IF(LOWER(AW16)=LOWER(Urlaub!$W$22),Urlaub!$S$22,
IF(LOWER(AW16)=LOWER(Urlaub!$W$23),Urlaub!$S$23,
IF(LOWER(AW16)=LOWER(Urlaub!$W$24),Urlaub!$S$24,""))))))&amp;IF(AND(EXACT(LOWER(AW16),AW16),AW16&lt;&gt;0)," 1/2",""))</f>
        <v/>
      </c>
      <c r="N16" s="53">
        <f t="shared" si="2"/>
        <v>0</v>
      </c>
      <c r="P16" s="155"/>
      <c r="Q16" s="156"/>
      <c r="R16" s="156"/>
      <c r="S16" s="156"/>
      <c r="T16" s="156"/>
      <c r="U16" s="156"/>
      <c r="V16" s="157"/>
      <c r="AU16" t="str">
        <f>IF(AV16=1,VLOOKUP($B16,Feiertage!$B$2:$D$49,3,FALSE),"")</f>
        <v/>
      </c>
      <c r="AV16">
        <f>IF(IFERROR(MATCH($B16,Feiertage!$B$2:$B$49,0)&gt;0,0),1,0)</f>
        <v>0</v>
      </c>
      <c r="AW16" s="22">
        <f>IFERROR(HLOOKUP(DAY(B16),Urlaub!$C$4:$AG$16,MONTH(B16)+1,FALSE),0)</f>
        <v>0</v>
      </c>
      <c r="AX16" s="38">
        <f t="shared" si="3"/>
        <v>0</v>
      </c>
      <c r="AY16" s="7">
        <f t="shared" si="4"/>
        <v>2.0833333333333332E-2</v>
      </c>
      <c r="AZ16" s="5">
        <f t="shared" si="5"/>
        <v>0</v>
      </c>
      <c r="BA16" s="39">
        <f t="shared" si="7"/>
        <v>0</v>
      </c>
      <c r="BB16" s="5">
        <f t="shared" si="6"/>
        <v>0.33333333333333331</v>
      </c>
    </row>
    <row r="17" spans="2:54" ht="18.75" x14ac:dyDescent="0.3">
      <c r="B17" s="43">
        <f t="shared" si="8"/>
        <v>41955</v>
      </c>
      <c r="C17" s="44">
        <f t="shared" si="9"/>
        <v>41955</v>
      </c>
      <c r="D17" s="3"/>
      <c r="E17" s="62"/>
      <c r="F17" s="62"/>
      <c r="G17" s="62"/>
      <c r="H17" s="62"/>
      <c r="I17" s="62" t="str">
        <f t="shared" ca="1" si="0"/>
        <v/>
      </c>
      <c r="J17" s="52">
        <f>IF(AND(Feiertage!$G$2&lt;&gt;"ja",AV17=1),IF(AZ17&gt;0,BB17+AZ17,BB17),IF(AZ17=0,0, IF(I17&lt;&gt;"",AZ17-I17,AZ17)))+AX17</f>
        <v>0</v>
      </c>
      <c r="K17" s="62">
        <f>IF(AV17=0,BB17,IF(Feiertage!$G$2="ja","00:00",BB17))</f>
        <v>0.33333333333333331</v>
      </c>
      <c r="L17" s="52" t="str">
        <f t="shared" ca="1" si="1"/>
        <v/>
      </c>
      <c r="M17" s="50" t="str">
        <f>IF(AV17=1,AU17,IF(LOWER(AW17)=LOWER(Urlaub!$W$19),Urlaub!$S$19,
IF(LOWER(AW17)=LOWER(Urlaub!$W$20),Urlaub!$S$20,
IF(LOWER(AW17)=LOWER(Urlaub!$W$21),Urlaub!$S$21,
IF(LOWER(AW17)=LOWER(Urlaub!$W$22),Urlaub!$S$22,
IF(LOWER(AW17)=LOWER(Urlaub!$W$23),Urlaub!$S$23,
IF(LOWER(AW17)=LOWER(Urlaub!$W$24),Urlaub!$S$24,""))))))&amp;IF(AND(EXACT(LOWER(AW17),AW17),AW17&lt;&gt;0)," 1/2",""))</f>
        <v/>
      </c>
      <c r="N17" s="53">
        <f t="shared" si="2"/>
        <v>0</v>
      </c>
      <c r="P17" s="158"/>
      <c r="Q17" s="159"/>
      <c r="R17" s="159"/>
      <c r="S17" s="159"/>
      <c r="T17" s="159"/>
      <c r="U17" s="159"/>
      <c r="V17" s="160"/>
      <c r="AU17" t="str">
        <f>IF(AV17=1,VLOOKUP($B17,Feiertage!$B$2:$D$49,3,FALSE),"")</f>
        <v/>
      </c>
      <c r="AV17">
        <f>IF(IFERROR(MATCH($B17,Feiertage!$B$2:$B$49,0)&gt;0,0),1,0)</f>
        <v>0</v>
      </c>
      <c r="AW17" s="22">
        <f>IFERROR(HLOOKUP(DAY(B17),Urlaub!$C$4:$AG$16,MONTH(B17)+1,FALSE),0)</f>
        <v>0</v>
      </c>
      <c r="AX17" s="38">
        <f t="shared" ref="AX17:AX35" si="10">IFERROR(IF(OR(AW17=0,AW17="G"),0,IF(EXACT(LOWER(AW17),AW17),0.5*BB17,BB17)),"")</f>
        <v>0</v>
      </c>
      <c r="AY17" s="7">
        <f t="shared" si="4"/>
        <v>2.0833333333333332E-2</v>
      </c>
      <c r="AZ17" s="5">
        <f t="shared" si="5"/>
        <v>0</v>
      </c>
      <c r="BA17" s="39">
        <f t="shared" si="7"/>
        <v>0</v>
      </c>
      <c r="BB17" s="5">
        <f t="shared" si="6"/>
        <v>0.33333333333333331</v>
      </c>
    </row>
    <row r="18" spans="2:54" ht="19.5" thickBot="1" x14ac:dyDescent="0.35">
      <c r="B18" s="43">
        <f t="shared" si="8"/>
        <v>41956</v>
      </c>
      <c r="C18" s="44">
        <f t="shared" si="9"/>
        <v>41956</v>
      </c>
      <c r="D18" s="3"/>
      <c r="E18" s="62"/>
      <c r="F18" s="62"/>
      <c r="G18" s="62"/>
      <c r="H18" s="62"/>
      <c r="I18" s="62" t="str">
        <f t="shared" ca="1" si="0"/>
        <v/>
      </c>
      <c r="J18" s="52">
        <f>IF(AND(Feiertage!$G$2&lt;&gt;"ja",AV18=1),IF(AZ18&gt;0,BB18+AZ18,BB18),IF(AZ18=0,0, IF(I18&lt;&gt;"",AZ18-I18,AZ18)))+AX18</f>
        <v>0</v>
      </c>
      <c r="K18" s="62">
        <f>IF(AV18=0,BB18,IF(Feiertage!$G$2="ja","00:00",BB18))</f>
        <v>0.33333333333333331</v>
      </c>
      <c r="L18" s="52" t="str">
        <f t="shared" ca="1" si="1"/>
        <v/>
      </c>
      <c r="M18" s="50" t="str">
        <f>IF(AV18=1,AU18,IF(LOWER(AW18)=LOWER(Urlaub!$W$19),Urlaub!$S$19,
IF(LOWER(AW18)=LOWER(Urlaub!$W$20),Urlaub!$S$20,
IF(LOWER(AW18)=LOWER(Urlaub!$W$21),Urlaub!$S$21,
IF(LOWER(AW18)=LOWER(Urlaub!$W$22),Urlaub!$S$22,
IF(LOWER(AW18)=LOWER(Urlaub!$W$23),Urlaub!$S$23,
IF(LOWER(AW18)=LOWER(Urlaub!$W$24),Urlaub!$S$24,""))))))&amp;IF(AND(EXACT(LOWER(AW18),AW18),AW18&lt;&gt;0)," 1/2",""))</f>
        <v/>
      </c>
      <c r="N18" s="53">
        <f t="shared" si="2"/>
        <v>0</v>
      </c>
      <c r="P18" s="161"/>
      <c r="Q18" s="162"/>
      <c r="R18" s="162"/>
      <c r="S18" s="162"/>
      <c r="T18" s="162"/>
      <c r="U18" s="162"/>
      <c r="V18" s="163"/>
      <c r="AU18" t="str">
        <f>IF(AV18=1,VLOOKUP($B18,Feiertage!$B$2:$D$49,3,FALSE),"")</f>
        <v/>
      </c>
      <c r="AV18">
        <f>IF(IFERROR(MATCH($B18,Feiertage!$B$2:$B$49,0)&gt;0,0),1,0)</f>
        <v>0</v>
      </c>
      <c r="AW18" s="22">
        <f>IFERROR(HLOOKUP(DAY(B18),Urlaub!$C$4:$AG$16,MONTH(B18)+1,FALSE),0)</f>
        <v>0</v>
      </c>
      <c r="AX18" s="38">
        <f t="shared" si="10"/>
        <v>0</v>
      </c>
      <c r="AY18" s="7">
        <f t="shared" si="4"/>
        <v>2.0833333333333301E-2</v>
      </c>
      <c r="AZ18" s="5">
        <f t="shared" si="5"/>
        <v>0</v>
      </c>
      <c r="BA18" s="39">
        <f t="shared" si="7"/>
        <v>0</v>
      </c>
      <c r="BB18" s="5">
        <f t="shared" si="6"/>
        <v>0.33333333333333331</v>
      </c>
    </row>
    <row r="19" spans="2:54" ht="18.75" x14ac:dyDescent="0.3">
      <c r="B19" s="43">
        <f t="shared" si="8"/>
        <v>41957</v>
      </c>
      <c r="C19" s="44">
        <f t="shared" si="9"/>
        <v>41957</v>
      </c>
      <c r="D19" s="3"/>
      <c r="E19" s="62"/>
      <c r="F19" s="62"/>
      <c r="G19" s="62"/>
      <c r="H19" s="62"/>
      <c r="I19" s="62" t="str">
        <f t="shared" ca="1" si="0"/>
        <v/>
      </c>
      <c r="J19" s="52">
        <f>IF(AND(Feiertage!$G$2&lt;&gt;"ja",AV19=1),IF(AZ19&gt;0,BB19+AZ19,BB19),IF(AZ19=0,0, IF(I19&lt;&gt;"",AZ19-I19,AZ19)))+AX19</f>
        <v>0</v>
      </c>
      <c r="K19" s="62">
        <f>IF(AV19=0,BB19,IF(Feiertage!$G$2="ja","00:00",BB19))</f>
        <v>0.33333333333333331</v>
      </c>
      <c r="L19" s="52" t="str">
        <f ca="1">IF(OR(B19&lt;=TODAY(),J19,AW19="G"),IF(J19&lt;&gt;"",IF(J19-K19=0,"",J19-K19),IF(K19&lt;&gt;"",-K19,"")),"")</f>
        <v/>
      </c>
      <c r="M19" s="50" t="str">
        <f>IF(AV19=1,AU19,IF(LOWER(AW19)=LOWER(Urlaub!$W$19),Urlaub!$S$19,
IF(LOWER(AW19)=LOWER(Urlaub!$W$20),Urlaub!$S$20,
IF(LOWER(AW19)=LOWER(Urlaub!$W$21),Urlaub!$S$21,
IF(LOWER(AW19)=LOWER(Urlaub!$W$22),Urlaub!$S$22,
IF(LOWER(AW19)=LOWER(Urlaub!$W$23),Urlaub!$S$23,
IF(LOWER(AW19)=LOWER(Urlaub!$W$24),Urlaub!$S$24,""))))))&amp;IF(AND(EXACT(LOWER(AW19),AW19),AW19&lt;&gt;0)," 1/2",""))</f>
        <v/>
      </c>
      <c r="N19" s="53">
        <f t="shared" si="2"/>
        <v>0</v>
      </c>
      <c r="AU19" t="str">
        <f>IF(AV19=1,VLOOKUP($B19,Feiertage!$B$2:$D$49,3,FALSE),"")</f>
        <v/>
      </c>
      <c r="AV19">
        <f>IF(IFERROR(MATCH($B19,Feiertage!$B$2:$B$49,0)&gt;0,0),1,0)</f>
        <v>0</v>
      </c>
      <c r="AW19" s="22">
        <f>IFERROR(HLOOKUP(DAY(B19),Urlaub!$C$4:$AG$16,MONTH(B19)+1,FALSE),0)</f>
        <v>0</v>
      </c>
      <c r="AX19" s="38">
        <f>IFERROR(IF(OR(AW19=0,AW19="G"),0,IF(EXACT(LOWER(AW19),AW19),0.5*BB19,BB19)),"")</f>
        <v>0</v>
      </c>
      <c r="AY19" s="7">
        <f t="shared" si="4"/>
        <v>2.0833333333333301E-2</v>
      </c>
      <c r="AZ19" s="5">
        <f t="shared" si="5"/>
        <v>0</v>
      </c>
      <c r="BA19" s="39">
        <f t="shared" si="7"/>
        <v>0</v>
      </c>
      <c r="BB19" s="5">
        <f t="shared" si="6"/>
        <v>0.33333333333333331</v>
      </c>
    </row>
    <row r="20" spans="2:54" ht="18.75" x14ac:dyDescent="0.3">
      <c r="B20" s="43">
        <f t="shared" si="8"/>
        <v>41958</v>
      </c>
      <c r="C20" s="44">
        <f t="shared" si="9"/>
        <v>41958</v>
      </c>
      <c r="D20" s="3"/>
      <c r="E20" s="62"/>
      <c r="F20" s="62"/>
      <c r="G20" s="62"/>
      <c r="H20" s="62"/>
      <c r="I20" s="62" t="str">
        <f t="shared" ca="1" si="0"/>
        <v/>
      </c>
      <c r="J20" s="52">
        <f>IF(AND(Feiertage!$G$2&lt;&gt;"ja",AV20=1),IF(AZ20&gt;0,BB20+AZ20,BB20),IF(AZ20=0,0, IF(I20&lt;&gt;"",AZ20-I20,AZ20)))+AX20</f>
        <v>0</v>
      </c>
      <c r="K20" s="62">
        <f>IF(AV20=0,BB20,IF(Feiertage!$G$2="ja","00:00",BB20))</f>
        <v>0.33333333333333331</v>
      </c>
      <c r="L20" s="52" t="str">
        <f t="shared" ref="L20:L35" ca="1" si="11">IF(OR(B20&lt;=TODAY(),J20,AW20="G"),IF(J20&lt;&gt;"",IF(J20-K20=0,"",J20-K20),IF(K20&lt;&gt;"",-K20,"")),"")</f>
        <v/>
      </c>
      <c r="M20" s="50" t="str">
        <f>IF(AV20=1,AU20,IF(LOWER(AW20)=LOWER(Urlaub!$W$19),Urlaub!$S$19,
IF(LOWER(AW20)=LOWER(Urlaub!$W$20),Urlaub!$S$20,
IF(LOWER(AW20)=LOWER(Urlaub!$W$21),Urlaub!$S$21,
IF(LOWER(AW20)=LOWER(Urlaub!$W$22),Urlaub!$S$22,
IF(LOWER(AW20)=LOWER(Urlaub!$W$23),Urlaub!$S$23,
IF(LOWER(AW20)=LOWER(Urlaub!$W$24),Urlaub!$S$24,""))))))&amp;IF(AND(EXACT(LOWER(AW20),AW20),AW20&lt;&gt;0)," 1/2",""))</f>
        <v/>
      </c>
      <c r="N20" s="53">
        <f t="shared" si="2"/>
        <v>0</v>
      </c>
      <c r="AU20" t="str">
        <f>IF(AV20=1,VLOOKUP($B20,Feiertage!$B$2:$D$49,3,FALSE),"")</f>
        <v/>
      </c>
      <c r="AV20">
        <f>IF(IFERROR(MATCH($B20,Feiertage!$B$2:$B$49,0)&gt;0,0),1,0)</f>
        <v>0</v>
      </c>
      <c r="AW20" s="22">
        <f>IFERROR(HLOOKUP(DAY(B20),Urlaub!$C$4:$AG$16,MONTH(B20)+1,FALSE),0)</f>
        <v>0</v>
      </c>
      <c r="AX20" s="38">
        <f t="shared" si="10"/>
        <v>0</v>
      </c>
      <c r="AY20" s="7">
        <f t="shared" si="4"/>
        <v>2.0833333333333301E-2</v>
      </c>
      <c r="AZ20" s="5">
        <f t="shared" si="5"/>
        <v>0</v>
      </c>
      <c r="BA20" s="39">
        <f t="shared" si="7"/>
        <v>0</v>
      </c>
      <c r="BB20" s="5">
        <f t="shared" si="6"/>
        <v>0.33333333333333331</v>
      </c>
    </row>
    <row r="21" spans="2:54" ht="18.75" x14ac:dyDescent="0.3">
      <c r="B21" s="43">
        <f t="shared" si="8"/>
        <v>41959</v>
      </c>
      <c r="C21" s="44">
        <f t="shared" si="9"/>
        <v>41959</v>
      </c>
      <c r="D21" s="3"/>
      <c r="E21" s="62"/>
      <c r="F21" s="62"/>
      <c r="G21" s="62"/>
      <c r="H21" s="62"/>
      <c r="I21" s="62" t="str">
        <f t="shared" ca="1" si="0"/>
        <v/>
      </c>
      <c r="J21" s="52">
        <f>IF(AND(Feiertage!$G$2&lt;&gt;"ja",AV21=1),IF(AZ21&gt;0,BB21+AZ21,BB21),IF(AZ21=0,0, IF(I21&lt;&gt;"",AZ21-I21,AZ21)))+AX21</f>
        <v>0</v>
      </c>
      <c r="K21" s="62">
        <f>IF(AV21=0,BB21,IF(Feiertage!$G$2="ja","00:00",BB21))</f>
        <v>0</v>
      </c>
      <c r="L21" s="52" t="str">
        <f t="shared" ca="1" si="11"/>
        <v/>
      </c>
      <c r="M21" s="50" t="str">
        <f>IF(AV21=1,AU21,IF(LOWER(AW21)=LOWER(Urlaub!$W$19),Urlaub!$S$19,
IF(LOWER(AW21)=LOWER(Urlaub!$W$20),Urlaub!$S$20,
IF(LOWER(AW21)=LOWER(Urlaub!$W$21),Urlaub!$S$21,
IF(LOWER(AW21)=LOWER(Urlaub!$W$22),Urlaub!$S$22,
IF(LOWER(AW21)=LOWER(Urlaub!$W$23),Urlaub!$S$23,
IF(LOWER(AW21)=LOWER(Urlaub!$W$24),Urlaub!$S$24,""))))))&amp;IF(AND(EXACT(LOWER(AW21),AW21),AW21&lt;&gt;0)," 1/2",""))</f>
        <v/>
      </c>
      <c r="N21" s="53">
        <f t="shared" si="2"/>
        <v>0</v>
      </c>
      <c r="AU21" t="str">
        <f>IF(AV21=1,VLOOKUP($B21,Feiertage!$B$2:$D$49,3,FALSE),"")</f>
        <v/>
      </c>
      <c r="AV21">
        <f>IF(IFERROR(MATCH($B21,Feiertage!$B$2:$B$49,0)&gt;0,0),1,0)</f>
        <v>0</v>
      </c>
      <c r="AW21" s="22">
        <f>IFERROR(HLOOKUP(DAY(B21),Urlaub!$C$4:$AG$16,MONTH(B21)+1,FALSE),0)</f>
        <v>0</v>
      </c>
      <c r="AX21" s="38">
        <f t="shared" si="10"/>
        <v>0</v>
      </c>
      <c r="AY21" s="7">
        <f t="shared" si="4"/>
        <v>2.0833333333333301E-2</v>
      </c>
      <c r="AZ21" s="5">
        <f t="shared" si="5"/>
        <v>0</v>
      </c>
      <c r="BA21" s="39">
        <f t="shared" si="7"/>
        <v>0</v>
      </c>
      <c r="BB21" s="5">
        <f t="shared" si="6"/>
        <v>0</v>
      </c>
    </row>
    <row r="22" spans="2:54" ht="18.75" x14ac:dyDescent="0.3">
      <c r="B22" s="43">
        <f t="shared" si="8"/>
        <v>41960</v>
      </c>
      <c r="C22" s="44">
        <f t="shared" si="9"/>
        <v>41960</v>
      </c>
      <c r="D22" s="3"/>
      <c r="E22" s="62"/>
      <c r="F22" s="62"/>
      <c r="G22" s="62"/>
      <c r="H22" s="62"/>
      <c r="I22" s="62" t="str">
        <f t="shared" ca="1" si="0"/>
        <v/>
      </c>
      <c r="J22" s="52">
        <f>IF(AND(Feiertage!$G$2&lt;&gt;"ja",AV22=1),IF(AZ22&gt;0,BB22+AZ22,BB22),IF(AZ22=0,0, IF(I22&lt;&gt;"",AZ22-I22,AZ22)))+AX22</f>
        <v>0</v>
      </c>
      <c r="K22" s="62">
        <f>IF(AV22=0,BB22,IF(Feiertage!$G$2="ja","00:00",BB22))</f>
        <v>0</v>
      </c>
      <c r="L22" s="52" t="str">
        <f t="shared" ca="1" si="11"/>
        <v/>
      </c>
      <c r="M22" s="50" t="str">
        <f>IF(AV22=1,AU22,IF(LOWER(AW22)=LOWER(Urlaub!$W$19),Urlaub!$S$19,
IF(LOWER(AW22)=LOWER(Urlaub!$W$20),Urlaub!$S$20,
IF(LOWER(AW22)=LOWER(Urlaub!$W$21),Urlaub!$S$21,
IF(LOWER(AW22)=LOWER(Urlaub!$W$22),Urlaub!$S$22,
IF(LOWER(AW22)=LOWER(Urlaub!$W$23),Urlaub!$S$23,
IF(LOWER(AW22)=LOWER(Urlaub!$W$24),Urlaub!$S$24,""))))))&amp;IF(AND(EXACT(LOWER(AW22),AW22),AW22&lt;&gt;0)," 1/2",""))</f>
        <v/>
      </c>
      <c r="N22" s="53">
        <f t="shared" si="2"/>
        <v>0</v>
      </c>
      <c r="AU22" t="str">
        <f>IF(AV22=1,VLOOKUP($B22,Feiertage!$B$2:$D$49,3,FALSE),"")</f>
        <v/>
      </c>
      <c r="AV22">
        <f>IF(IFERROR(MATCH($B22,Feiertage!$B$2:$B$49,0)&gt;0,0),1,0)</f>
        <v>0</v>
      </c>
      <c r="AW22" s="22">
        <f>IFERROR(HLOOKUP(DAY(B22),Urlaub!$C$4:$AG$16,MONTH(B22)+1,FALSE),0)</f>
        <v>0</v>
      </c>
      <c r="AX22" s="38">
        <f t="shared" si="10"/>
        <v>0</v>
      </c>
      <c r="AY22" s="7">
        <f t="shared" si="4"/>
        <v>2.0833333333333301E-2</v>
      </c>
      <c r="AZ22" s="5">
        <f t="shared" si="5"/>
        <v>0</v>
      </c>
      <c r="BA22" s="39">
        <f t="shared" si="7"/>
        <v>0</v>
      </c>
      <c r="BB22" s="5">
        <f t="shared" si="6"/>
        <v>0</v>
      </c>
    </row>
    <row r="23" spans="2:54" ht="18.75" x14ac:dyDescent="0.3">
      <c r="B23" s="43">
        <f t="shared" si="8"/>
        <v>41961</v>
      </c>
      <c r="C23" s="44">
        <f t="shared" si="9"/>
        <v>41961</v>
      </c>
      <c r="D23" s="3"/>
      <c r="E23" s="62"/>
      <c r="F23" s="62"/>
      <c r="G23" s="62"/>
      <c r="H23" s="62"/>
      <c r="I23" s="62" t="str">
        <f t="shared" ca="1" si="0"/>
        <v/>
      </c>
      <c r="J23" s="52">
        <f>IF(AND(Feiertage!$G$2&lt;&gt;"ja",AV23=1),IF(AZ23&gt;0,BB23+AZ23,BB23),IF(AZ23=0,0, IF(I23&lt;&gt;"",AZ23-I23,AZ23)))+AX23</f>
        <v>0</v>
      </c>
      <c r="K23" s="62">
        <f>IF(AV23=0,BB23,IF(Feiertage!$G$2="ja","00:00",BB23))</f>
        <v>0.33333333333333331</v>
      </c>
      <c r="L23" s="52" t="str">
        <f t="shared" ca="1" si="11"/>
        <v/>
      </c>
      <c r="M23" s="50" t="str">
        <f>IF(AV23=1,AU23,IF(LOWER(AW23)=LOWER(Urlaub!$W$19),Urlaub!$S$19,
IF(LOWER(AW23)=LOWER(Urlaub!$W$20),Urlaub!$S$20,
IF(LOWER(AW23)=LOWER(Urlaub!$W$21),Urlaub!$S$21,
IF(LOWER(AW23)=LOWER(Urlaub!$W$22),Urlaub!$S$22,
IF(LOWER(AW23)=LOWER(Urlaub!$W$23),Urlaub!$S$23,
IF(LOWER(AW23)=LOWER(Urlaub!$W$24),Urlaub!$S$24,""))))))&amp;IF(AND(EXACT(LOWER(AW23),AW23),AW23&lt;&gt;0)," 1/2",""))</f>
        <v/>
      </c>
      <c r="N23" s="53">
        <f t="shared" si="2"/>
        <v>0</v>
      </c>
      <c r="AU23" t="str">
        <f>IF(AV23=1,VLOOKUP($B23,Feiertage!$B$2:$D$49,3,FALSE),"")</f>
        <v/>
      </c>
      <c r="AV23">
        <f>IF(IFERROR(MATCH($B23,Feiertage!$B$2:$B$49,0)&gt;0,0),1,0)</f>
        <v>0</v>
      </c>
      <c r="AW23" s="22">
        <f>IFERROR(HLOOKUP(DAY(B23),Urlaub!$C$4:$AG$16,MONTH(B23)+1,FALSE),0)</f>
        <v>0</v>
      </c>
      <c r="AX23" s="38">
        <f>IFERROR(IF(OR(AW23=0,AW23="G"),0,IF(EXACT(LOWER(AW23),AW23),0.5*BB23,BB23)),"")</f>
        <v>0</v>
      </c>
      <c r="AY23" s="7">
        <f t="shared" si="4"/>
        <v>2.0833333333333332E-2</v>
      </c>
      <c r="AZ23" s="5">
        <f t="shared" si="5"/>
        <v>0</v>
      </c>
      <c r="BA23" s="39">
        <f t="shared" si="7"/>
        <v>0</v>
      </c>
      <c r="BB23" s="5">
        <f t="shared" si="6"/>
        <v>0.33333333333333331</v>
      </c>
    </row>
    <row r="24" spans="2:54" ht="18.75" x14ac:dyDescent="0.3">
      <c r="B24" s="43">
        <f t="shared" si="8"/>
        <v>41962</v>
      </c>
      <c r="C24" s="44">
        <f t="shared" si="9"/>
        <v>41962</v>
      </c>
      <c r="D24" s="3"/>
      <c r="E24" s="62"/>
      <c r="F24" s="62"/>
      <c r="G24" s="62"/>
      <c r="H24" s="62"/>
      <c r="I24" s="62" t="str">
        <f t="shared" ca="1" si="0"/>
        <v/>
      </c>
      <c r="J24" s="52">
        <f>IF(AND(Feiertage!$G$2&lt;&gt;"ja",AV24=1),IF(AZ24&gt;0,BB24+AZ24,BB24),IF(AZ24=0,0, IF(I24&lt;&gt;"",AZ24-I24,AZ24)))+AX24</f>
        <v>0</v>
      </c>
      <c r="K24" s="62">
        <f>IF(AV24=0,BB24,IF(Feiertage!$G$2="ja","00:00",BB24))</f>
        <v>0.33333333333333331</v>
      </c>
      <c r="L24" s="52" t="str">
        <f t="shared" ca="1" si="11"/>
        <v/>
      </c>
      <c r="M24" s="50" t="str">
        <f>IF(AV24=1,AU24,IF(LOWER(AW24)=LOWER(Urlaub!$W$19),Urlaub!$S$19,
IF(LOWER(AW24)=LOWER(Urlaub!$W$20),Urlaub!$S$20,
IF(LOWER(AW24)=LOWER(Urlaub!$W$21),Urlaub!$S$21,
IF(LOWER(AW24)=LOWER(Urlaub!$W$22),Urlaub!$S$22,
IF(LOWER(AW24)=LOWER(Urlaub!$W$23),Urlaub!$S$23,
IF(LOWER(AW24)=LOWER(Urlaub!$W$24),Urlaub!$S$24,""))))))&amp;IF(AND(EXACT(LOWER(AW24),AW24),AW24&lt;&gt;0)," 1/2",""))</f>
        <v/>
      </c>
      <c r="N24" s="53">
        <f t="shared" si="2"/>
        <v>0</v>
      </c>
      <c r="AU24" t="str">
        <f>IF(AV24=1,VLOOKUP($B24,Feiertage!$B$2:$D$49,3,FALSE),"")</f>
        <v/>
      </c>
      <c r="AV24">
        <f>IF(IFERROR(MATCH($B24,Feiertage!$B$2:$B$49,0)&gt;0,0),1,0)</f>
        <v>0</v>
      </c>
      <c r="AW24" s="22">
        <f>IFERROR(HLOOKUP(DAY(B24),Urlaub!$C$4:$AG$16,MONTH(B24)+1,FALSE),0)</f>
        <v>0</v>
      </c>
      <c r="AX24" s="38">
        <f t="shared" si="10"/>
        <v>0</v>
      </c>
      <c r="AY24" s="7">
        <f t="shared" si="4"/>
        <v>2.0833333333333332E-2</v>
      </c>
      <c r="AZ24" s="5">
        <f t="shared" si="5"/>
        <v>0</v>
      </c>
      <c r="BA24" s="39">
        <f t="shared" si="7"/>
        <v>0</v>
      </c>
      <c r="BB24" s="5">
        <f t="shared" si="6"/>
        <v>0.33333333333333331</v>
      </c>
    </row>
    <row r="25" spans="2:54" ht="18.75" x14ac:dyDescent="0.3">
      <c r="B25" s="43">
        <f t="shared" si="8"/>
        <v>41963</v>
      </c>
      <c r="C25" s="44">
        <f t="shared" si="9"/>
        <v>41963</v>
      </c>
      <c r="D25" s="3"/>
      <c r="E25" s="62"/>
      <c r="F25" s="62"/>
      <c r="G25" s="62"/>
      <c r="H25" s="62"/>
      <c r="I25" s="62" t="str">
        <f t="shared" ca="1" si="0"/>
        <v/>
      </c>
      <c r="J25" s="52">
        <f>IF(AND(Feiertage!$G$2&lt;&gt;"ja",AV25=1),IF(AZ25&gt;0,BB25+AZ25,BB25),IF(AZ25=0,0, IF(I25&lt;&gt;"",AZ25-I25,AZ25)))+AX25</f>
        <v>0</v>
      </c>
      <c r="K25" s="62">
        <f>IF(AV25=0,BB25,IF(Feiertage!$G$2="ja","00:00",BB25))</f>
        <v>0.33333333333333331</v>
      </c>
      <c r="L25" s="52" t="str">
        <f t="shared" ca="1" si="11"/>
        <v/>
      </c>
      <c r="M25" s="50" t="str">
        <f>IF(AV25=1,AU25,IF(LOWER(AW25)=LOWER(Urlaub!$W$19),Urlaub!$S$19,
IF(LOWER(AW25)=LOWER(Urlaub!$W$20),Urlaub!$S$20,
IF(LOWER(AW25)=LOWER(Urlaub!$W$21),Urlaub!$S$21,
IF(LOWER(AW25)=LOWER(Urlaub!$W$22),Urlaub!$S$22,
IF(LOWER(AW25)=LOWER(Urlaub!$W$23),Urlaub!$S$23,
IF(LOWER(AW25)=LOWER(Urlaub!$W$24),Urlaub!$S$24,""))))))&amp;IF(AND(EXACT(LOWER(AW25),AW25),AW25&lt;&gt;0)," 1/2",""))</f>
        <v/>
      </c>
      <c r="N25" s="53">
        <f t="shared" si="2"/>
        <v>0</v>
      </c>
      <c r="AU25" t="str">
        <f>IF(AV25=1,VLOOKUP($B25,Feiertage!$B$2:$D$49,3,FALSE),"")</f>
        <v/>
      </c>
      <c r="AV25">
        <f>IF(IFERROR(MATCH($B25,Feiertage!$B$2:$B$49,0)&gt;0,0),1,0)</f>
        <v>0</v>
      </c>
      <c r="AW25" s="22">
        <f>IFERROR(HLOOKUP(DAY(B25),Urlaub!$C$4:$AG$16,MONTH(B25)+1,FALSE),0)</f>
        <v>0</v>
      </c>
      <c r="AX25" s="38">
        <f t="shared" si="10"/>
        <v>0</v>
      </c>
      <c r="AY25" s="7">
        <f t="shared" si="4"/>
        <v>2.0833333333333301E-2</v>
      </c>
      <c r="AZ25" s="5">
        <f t="shared" si="5"/>
        <v>0</v>
      </c>
      <c r="BA25" s="39">
        <f t="shared" si="7"/>
        <v>0</v>
      </c>
      <c r="BB25" s="5">
        <f t="shared" si="6"/>
        <v>0.33333333333333331</v>
      </c>
    </row>
    <row r="26" spans="2:54" ht="18.75" x14ac:dyDescent="0.3">
      <c r="B26" s="43">
        <f t="shared" si="8"/>
        <v>41964</v>
      </c>
      <c r="C26" s="44">
        <f t="shared" si="9"/>
        <v>41964</v>
      </c>
      <c r="D26" s="3"/>
      <c r="E26" s="62"/>
      <c r="F26" s="62"/>
      <c r="G26" s="62"/>
      <c r="H26" s="62"/>
      <c r="I26" s="62" t="str">
        <f t="shared" ca="1" si="0"/>
        <v/>
      </c>
      <c r="J26" s="52">
        <f>IF(AND(Feiertage!$G$2&lt;&gt;"ja",AV26=1),IF(AZ26&gt;0,BB26+AZ26,BB26),IF(AZ26=0,0, IF(I26&lt;&gt;"",AZ26-I26,AZ26)))+AX26</f>
        <v>0</v>
      </c>
      <c r="K26" s="62">
        <f>IF(AV26=0,BB26,IF(Feiertage!$G$2="ja","00:00",BB26))</f>
        <v>0.33333333333333331</v>
      </c>
      <c r="L26" s="52" t="str">
        <f t="shared" ca="1" si="11"/>
        <v/>
      </c>
      <c r="M26" s="50" t="str">
        <f>IF(AV26=1,AU26,IF(LOWER(AW26)=LOWER(Urlaub!$W$19),Urlaub!$S$19,
IF(LOWER(AW26)=LOWER(Urlaub!$W$20),Urlaub!$S$20,
IF(LOWER(AW26)=LOWER(Urlaub!$W$21),Urlaub!$S$21,
IF(LOWER(AW26)=LOWER(Urlaub!$W$22),Urlaub!$S$22,
IF(LOWER(AW26)=LOWER(Urlaub!$W$23),Urlaub!$S$23,
IF(LOWER(AW26)=LOWER(Urlaub!$W$24),Urlaub!$S$24,""))))))&amp;IF(AND(EXACT(LOWER(AW26),AW26),AW26&lt;&gt;0)," 1/2",""))</f>
        <v/>
      </c>
      <c r="N26" s="53">
        <f t="shared" si="2"/>
        <v>0</v>
      </c>
      <c r="AU26" t="str">
        <f>IF(AV26=1,VLOOKUP($B26,Feiertage!$B$2:$D$49,3,FALSE),"")</f>
        <v/>
      </c>
      <c r="AV26">
        <f>IF(IFERROR(MATCH($B26,Feiertage!$B$2:$B$49,0)&gt;0,0),1,0)</f>
        <v>0</v>
      </c>
      <c r="AW26" s="22">
        <f>IFERROR(HLOOKUP(DAY(B26),Urlaub!$C$4:$AG$16,MONTH(B26)+1,FALSE),0)</f>
        <v>0</v>
      </c>
      <c r="AX26" s="38">
        <f t="shared" si="10"/>
        <v>0</v>
      </c>
      <c r="AY26" s="7">
        <f t="shared" si="4"/>
        <v>2.0833333333333301E-2</v>
      </c>
      <c r="AZ26" s="5">
        <f t="shared" si="5"/>
        <v>0</v>
      </c>
      <c r="BA26" s="39">
        <f t="shared" si="7"/>
        <v>0</v>
      </c>
      <c r="BB26" s="5">
        <f t="shared" si="6"/>
        <v>0.33333333333333331</v>
      </c>
    </row>
    <row r="27" spans="2:54" ht="18.75" x14ac:dyDescent="0.3">
      <c r="B27" s="43">
        <f t="shared" si="8"/>
        <v>41965</v>
      </c>
      <c r="C27" s="44">
        <f t="shared" si="9"/>
        <v>41965</v>
      </c>
      <c r="D27" s="3"/>
      <c r="E27" s="62"/>
      <c r="F27" s="62"/>
      <c r="G27" s="62"/>
      <c r="H27" s="62"/>
      <c r="I27" s="62" t="str">
        <f t="shared" ca="1" si="0"/>
        <v/>
      </c>
      <c r="J27" s="52">
        <f>IF(AND(Feiertage!$G$2&lt;&gt;"ja",AV27=1),IF(AZ27&gt;0,BB27+AZ27,BB27),IF(AZ27=0,0, IF(I27&lt;&gt;"",AZ27-I27,AZ27)))+AX27</f>
        <v>0</v>
      </c>
      <c r="K27" s="62">
        <f>IF(AV27=0,BB27,IF(Feiertage!$G$2="ja","00:00",BB27))</f>
        <v>0.33333333333333331</v>
      </c>
      <c r="L27" s="52" t="str">
        <f t="shared" ca="1" si="11"/>
        <v/>
      </c>
      <c r="M27" s="50" t="str">
        <f>IF(AV27=1,AU27,IF(LOWER(AW27)=LOWER(Urlaub!$W$19),Urlaub!$S$19,
IF(LOWER(AW27)=LOWER(Urlaub!$W$20),Urlaub!$S$20,
IF(LOWER(AW27)=LOWER(Urlaub!$W$21),Urlaub!$S$21,
IF(LOWER(AW27)=LOWER(Urlaub!$W$22),Urlaub!$S$22,
IF(LOWER(AW27)=LOWER(Urlaub!$W$23),Urlaub!$S$23,
IF(LOWER(AW27)=LOWER(Urlaub!$W$24),Urlaub!$S$24,""))))))&amp;IF(AND(EXACT(LOWER(AW27),AW27),AW27&lt;&gt;0)," 1/2",""))</f>
        <v/>
      </c>
      <c r="N27" s="53">
        <f t="shared" si="2"/>
        <v>0</v>
      </c>
      <c r="AU27" t="str">
        <f>IF(AV27=1,VLOOKUP($B27,Feiertage!$B$2:$D$49,3,FALSE),"")</f>
        <v/>
      </c>
      <c r="AV27">
        <f>IF(IFERROR(MATCH($B27,Feiertage!$B$2:$B$49,0)&gt;0,0),1,0)</f>
        <v>0</v>
      </c>
      <c r="AW27" s="22">
        <f>IFERROR(HLOOKUP(DAY(B27),Urlaub!$C$4:$AG$16,MONTH(B27)+1,FALSE),0)</f>
        <v>0</v>
      </c>
      <c r="AX27" s="38">
        <f t="shared" si="10"/>
        <v>0</v>
      </c>
      <c r="AY27" s="7">
        <f t="shared" si="4"/>
        <v>2.0833333333333301E-2</v>
      </c>
      <c r="AZ27" s="5">
        <f t="shared" si="5"/>
        <v>0</v>
      </c>
      <c r="BA27" s="39">
        <f t="shared" si="7"/>
        <v>0</v>
      </c>
      <c r="BB27" s="5">
        <f t="shared" si="6"/>
        <v>0.33333333333333331</v>
      </c>
    </row>
    <row r="28" spans="2:54" ht="18.75" x14ac:dyDescent="0.3">
      <c r="B28" s="43">
        <f t="shared" si="8"/>
        <v>41966</v>
      </c>
      <c r="C28" s="44">
        <f t="shared" si="9"/>
        <v>41966</v>
      </c>
      <c r="D28" s="3"/>
      <c r="E28" s="62"/>
      <c r="F28" s="62"/>
      <c r="G28" s="62"/>
      <c r="H28" s="62"/>
      <c r="I28" s="62" t="str">
        <f t="shared" ca="1" si="0"/>
        <v/>
      </c>
      <c r="J28" s="52">
        <f>IF(AND(Feiertage!$G$2&lt;&gt;"ja",AV28=1),IF(AZ28&gt;0,BB28+AZ28,BB28),IF(AZ28=0,0, IF(I28&lt;&gt;"",AZ28-I28,AZ28)))+AX28</f>
        <v>0</v>
      </c>
      <c r="K28" s="62">
        <f>IF(AV28=0,BB28,IF(Feiertage!$G$2="ja","00:00",BB28))</f>
        <v>0</v>
      </c>
      <c r="L28" s="52" t="str">
        <f t="shared" ca="1" si="11"/>
        <v/>
      </c>
      <c r="M28" s="50" t="str">
        <f>IF(AV28=1,AU28,IF(LOWER(AW28)=LOWER(Urlaub!$W$19),Urlaub!$S$19,
IF(LOWER(AW28)=LOWER(Urlaub!$W$20),Urlaub!$S$20,
IF(LOWER(AW28)=LOWER(Urlaub!$W$21),Urlaub!$S$21,
IF(LOWER(AW28)=LOWER(Urlaub!$W$22),Urlaub!$S$22,
IF(LOWER(AW28)=LOWER(Urlaub!$W$23),Urlaub!$S$23,
IF(LOWER(AW28)=LOWER(Urlaub!$W$24),Urlaub!$S$24,""))))))&amp;IF(AND(EXACT(LOWER(AW28),AW28),AW28&lt;&gt;0)," 1/2",""))</f>
        <v/>
      </c>
      <c r="N28" s="53">
        <f t="shared" si="2"/>
        <v>0</v>
      </c>
      <c r="AU28" t="str">
        <f>IF(AV28=1,VLOOKUP($B28,Feiertage!$B$2:$D$49,3,FALSE),"")</f>
        <v/>
      </c>
      <c r="AV28">
        <f>IF(IFERROR(MATCH($B28,Feiertage!$B$2:$B$49,0)&gt;0,0),1,0)</f>
        <v>0</v>
      </c>
      <c r="AW28" s="22">
        <f>IFERROR(HLOOKUP(DAY(B28),Urlaub!$C$4:$AG$16,MONTH(B28)+1,FALSE),0)</f>
        <v>0</v>
      </c>
      <c r="AX28" s="38">
        <f t="shared" si="10"/>
        <v>0</v>
      </c>
      <c r="AY28" s="7">
        <f t="shared" si="4"/>
        <v>2.0833333333333301E-2</v>
      </c>
      <c r="AZ28" s="5">
        <f t="shared" si="5"/>
        <v>0</v>
      </c>
      <c r="BA28" s="39">
        <f t="shared" si="7"/>
        <v>0</v>
      </c>
      <c r="BB28" s="5">
        <f t="shared" si="6"/>
        <v>0</v>
      </c>
    </row>
    <row r="29" spans="2:54" ht="18.75" x14ac:dyDescent="0.3">
      <c r="B29" s="43">
        <f t="shared" si="8"/>
        <v>41967</v>
      </c>
      <c r="C29" s="44">
        <f t="shared" si="9"/>
        <v>41967</v>
      </c>
      <c r="D29" s="3"/>
      <c r="E29" s="62"/>
      <c r="F29" s="62"/>
      <c r="G29" s="62"/>
      <c r="H29" s="62"/>
      <c r="I29" s="62" t="str">
        <f t="shared" ca="1" si="0"/>
        <v/>
      </c>
      <c r="J29" s="52">
        <f>IF(AND(Feiertage!$G$2&lt;&gt;"ja",AV29=1),IF(AZ29&gt;0,BB29+AZ29,BB29),IF(AZ29=0,0, IF(I29&lt;&gt;"",AZ29-I29,AZ29)))+AX29</f>
        <v>0</v>
      </c>
      <c r="K29" s="62">
        <f>IF(AV29=0,BB29,IF(Feiertage!$G$2="ja","00:00",BB29))</f>
        <v>0</v>
      </c>
      <c r="L29" s="52" t="str">
        <f t="shared" ca="1" si="11"/>
        <v/>
      </c>
      <c r="M29" s="50" t="str">
        <f>IF(AV29=1,AU29,IF(LOWER(AW29)=LOWER(Urlaub!$W$19),Urlaub!$S$19,
IF(LOWER(AW29)=LOWER(Urlaub!$W$20),Urlaub!$S$20,
IF(LOWER(AW29)=LOWER(Urlaub!$W$21),Urlaub!$S$21,
IF(LOWER(AW29)=LOWER(Urlaub!$W$22),Urlaub!$S$22,
IF(LOWER(AW29)=LOWER(Urlaub!$W$23),Urlaub!$S$23,
IF(LOWER(AW29)=LOWER(Urlaub!$W$24),Urlaub!$S$24,""))))))&amp;IF(AND(EXACT(LOWER(AW29),AW29),AW29&lt;&gt;0)," 1/2",""))</f>
        <v/>
      </c>
      <c r="N29" s="53">
        <f t="shared" si="2"/>
        <v>0</v>
      </c>
      <c r="AU29" t="str">
        <f>IF(AV29=1,VLOOKUP($B29,Feiertage!$B$2:$D$49,3,FALSE),"")</f>
        <v/>
      </c>
      <c r="AV29">
        <f>IF(IFERROR(MATCH($B29,Feiertage!$B$2:$B$49,0)&gt;0,0),1,0)</f>
        <v>0</v>
      </c>
      <c r="AW29" s="22">
        <f>IFERROR(HLOOKUP(DAY(B29),Urlaub!$C$4:$AG$16,MONTH(B29)+1,FALSE),0)</f>
        <v>0</v>
      </c>
      <c r="AX29" s="38">
        <f t="shared" si="10"/>
        <v>0</v>
      </c>
      <c r="AY29" s="7">
        <f t="shared" si="4"/>
        <v>2.0833333333333301E-2</v>
      </c>
      <c r="AZ29" s="5">
        <f t="shared" si="5"/>
        <v>0</v>
      </c>
      <c r="BA29" s="39">
        <f t="shared" si="7"/>
        <v>0</v>
      </c>
      <c r="BB29" s="5">
        <f t="shared" si="6"/>
        <v>0</v>
      </c>
    </row>
    <row r="30" spans="2:54" ht="18.75" x14ac:dyDescent="0.3">
      <c r="B30" s="43">
        <f t="shared" si="8"/>
        <v>41968</v>
      </c>
      <c r="C30" s="44">
        <f t="shared" si="9"/>
        <v>41968</v>
      </c>
      <c r="D30" s="3"/>
      <c r="E30" s="62"/>
      <c r="F30" s="62"/>
      <c r="G30" s="62"/>
      <c r="H30" s="62"/>
      <c r="I30" s="62" t="str">
        <f t="shared" ca="1" si="0"/>
        <v/>
      </c>
      <c r="J30" s="52">
        <f>IF(AND(Feiertage!$G$2&lt;&gt;"ja",AV30=1),IF(AZ30&gt;0,BB30+AZ30,BB30),IF(AZ30=0,0, IF(I30&lt;&gt;"",AZ30-I30,AZ30)))+AX30</f>
        <v>0</v>
      </c>
      <c r="K30" s="62">
        <f>IF(AV30=0,BB30,IF(Feiertage!$G$2="ja","00:00",BB30))</f>
        <v>0.33333333333333331</v>
      </c>
      <c r="L30" s="52" t="str">
        <f t="shared" ca="1" si="11"/>
        <v/>
      </c>
      <c r="M30" s="50" t="str">
        <f>IF(AV30=1,AU30,IF(LOWER(AW30)=LOWER(Urlaub!$W$19),Urlaub!$S$19,
IF(LOWER(AW30)=LOWER(Urlaub!$W$20),Urlaub!$S$20,
IF(LOWER(AW30)=LOWER(Urlaub!$W$21),Urlaub!$S$21,
IF(LOWER(AW30)=LOWER(Urlaub!$W$22),Urlaub!$S$22,
IF(LOWER(AW30)=LOWER(Urlaub!$W$23),Urlaub!$S$23,
IF(LOWER(AW30)=LOWER(Urlaub!$W$24),Urlaub!$S$24,""))))))&amp;IF(AND(EXACT(LOWER(AW30),AW30),AW30&lt;&gt;0)," 1/2",""))</f>
        <v/>
      </c>
      <c r="N30" s="53">
        <f t="shared" si="2"/>
        <v>0</v>
      </c>
      <c r="AU30" t="str">
        <f>IF(AV30=1,VLOOKUP($B30,Feiertage!$B$2:$D$49,3,FALSE),"")</f>
        <v/>
      </c>
      <c r="AV30">
        <f>IF(IFERROR(MATCH($B30,Feiertage!$B$2:$B$49,0)&gt;0,0),1,0)</f>
        <v>0</v>
      </c>
      <c r="AW30" s="22">
        <f>IFERROR(HLOOKUP(DAY(B30),Urlaub!$C$4:$AG$16,MONTH(B30)+1,FALSE),0)</f>
        <v>0</v>
      </c>
      <c r="AX30" s="38">
        <f t="shared" si="10"/>
        <v>0</v>
      </c>
      <c r="AY30" s="7">
        <f t="shared" si="4"/>
        <v>2.0833333333333332E-2</v>
      </c>
      <c r="AZ30" s="5">
        <f t="shared" si="5"/>
        <v>0</v>
      </c>
      <c r="BA30" s="39">
        <f t="shared" si="7"/>
        <v>0</v>
      </c>
      <c r="BB30" s="5">
        <f t="shared" si="6"/>
        <v>0.33333333333333331</v>
      </c>
    </row>
    <row r="31" spans="2:54" ht="18.75" x14ac:dyDescent="0.3">
      <c r="B31" s="43">
        <f t="shared" si="8"/>
        <v>41969</v>
      </c>
      <c r="C31" s="44">
        <f t="shared" si="9"/>
        <v>41969</v>
      </c>
      <c r="D31" s="3"/>
      <c r="E31" s="62"/>
      <c r="F31" s="62"/>
      <c r="G31" s="62"/>
      <c r="H31" s="62"/>
      <c r="I31" s="62" t="str">
        <f t="shared" ca="1" si="0"/>
        <v/>
      </c>
      <c r="J31" s="52">
        <f>IF(AND(Feiertage!$G$2&lt;&gt;"ja",AV31=1),IF(AZ31&gt;0,BB31+AZ31,BB31),IF(AZ31=0,0, IF(I31&lt;&gt;"",AZ31-I31,AZ31)))+AX31</f>
        <v>0</v>
      </c>
      <c r="K31" s="62">
        <f>IF(AV31=0,BB31,IF(Feiertage!$G$2="ja","00:00",BB31))</f>
        <v>0.33333333333333331</v>
      </c>
      <c r="L31" s="52" t="str">
        <f t="shared" ca="1" si="11"/>
        <v/>
      </c>
      <c r="M31" s="50" t="str">
        <f>IF(AV31=1,AU31,IF(LOWER(AW31)=LOWER(Urlaub!$W$19),Urlaub!$S$19,
IF(LOWER(AW31)=LOWER(Urlaub!$W$20),Urlaub!$S$20,
IF(LOWER(AW31)=LOWER(Urlaub!$W$21),Urlaub!$S$21,
IF(LOWER(AW31)=LOWER(Urlaub!$W$22),Urlaub!$S$22,
IF(LOWER(AW31)=LOWER(Urlaub!$W$23),Urlaub!$S$23,
IF(LOWER(AW31)=LOWER(Urlaub!$W$24),Urlaub!$S$24,""))))))&amp;IF(AND(EXACT(LOWER(AW31),AW31),AW31&lt;&gt;0)," 1/2",""))</f>
        <v/>
      </c>
      <c r="N31" s="53">
        <f t="shared" si="2"/>
        <v>0</v>
      </c>
      <c r="AU31" t="str">
        <f>IF(AV31=1,VLOOKUP($B31,Feiertage!$B$2:$D$49,3,FALSE),"")</f>
        <v/>
      </c>
      <c r="AV31">
        <f>IF(IFERROR(MATCH($B31,Feiertage!$B$2:$B$49,0)&gt;0,0),1,0)</f>
        <v>0</v>
      </c>
      <c r="AW31" s="22">
        <f>IFERROR(HLOOKUP(DAY(B31),Urlaub!$C$4:$AG$16,MONTH(B31)+1,FALSE),0)</f>
        <v>0</v>
      </c>
      <c r="AX31" s="38">
        <f t="shared" si="10"/>
        <v>0</v>
      </c>
      <c r="AY31" s="7">
        <f t="shared" si="4"/>
        <v>2.0833333333333332E-2</v>
      </c>
      <c r="AZ31" s="5">
        <f t="shared" si="5"/>
        <v>0</v>
      </c>
      <c r="BA31" s="39">
        <f t="shared" si="7"/>
        <v>0</v>
      </c>
      <c r="BB31" s="5">
        <f t="shared" si="6"/>
        <v>0.33333333333333331</v>
      </c>
    </row>
    <row r="32" spans="2:54" ht="18.75" x14ac:dyDescent="0.3">
      <c r="B32" s="43">
        <f t="shared" si="8"/>
        <v>41970</v>
      </c>
      <c r="C32" s="44">
        <f t="shared" si="9"/>
        <v>41970</v>
      </c>
      <c r="D32" s="3"/>
      <c r="E32" s="62"/>
      <c r="F32" s="62"/>
      <c r="G32" s="62"/>
      <c r="H32" s="62"/>
      <c r="I32" s="62" t="str">
        <f t="shared" ca="1" si="0"/>
        <v/>
      </c>
      <c r="J32" s="52">
        <f>IF(AND(Feiertage!$G$2&lt;&gt;"ja",AV32=1),IF(AZ32&gt;0,BB32+AZ32,BB32),IF(AZ32=0,0, IF(I32&lt;&gt;"",AZ32-I32,AZ32)))+AX32</f>
        <v>0</v>
      </c>
      <c r="K32" s="62">
        <f>IF(AV32=0,BB32,IF(Feiertage!$G$2="ja","00:00",BB32))</f>
        <v>0.33333333333333331</v>
      </c>
      <c r="L32" s="52" t="str">
        <f t="shared" ca="1" si="11"/>
        <v/>
      </c>
      <c r="M32" s="50" t="str">
        <f>IF(AV32=1,AU32,IF(LOWER(AW32)=LOWER(Urlaub!$W$19),Urlaub!$S$19,
IF(LOWER(AW32)=LOWER(Urlaub!$W$20),Urlaub!$S$20,
IF(LOWER(AW32)=LOWER(Urlaub!$W$21),Urlaub!$S$21,
IF(LOWER(AW32)=LOWER(Urlaub!$W$22),Urlaub!$S$22,
IF(LOWER(AW32)=LOWER(Urlaub!$W$23),Urlaub!$S$23,
IF(LOWER(AW32)=LOWER(Urlaub!$W$24),Urlaub!$S$24,""))))))&amp;IF(AND(EXACT(LOWER(AW32),AW32),AW32&lt;&gt;0)," 1/2",""))</f>
        <v/>
      </c>
      <c r="N32" s="53">
        <f t="shared" si="2"/>
        <v>0</v>
      </c>
      <c r="AU32" t="str">
        <f>IF(AV32=1,VLOOKUP($B32,Feiertage!$B$2:$D$49,3,FALSE),"")</f>
        <v/>
      </c>
      <c r="AV32">
        <f>IF(IFERROR(MATCH($B32,Feiertage!$B$2:$B$49,0)&gt;0,0),1,0)</f>
        <v>0</v>
      </c>
      <c r="AW32" s="22">
        <f>IFERROR(HLOOKUP(DAY(B32),Urlaub!$C$4:$AG$16,MONTH(B32)+1,FALSE),0)</f>
        <v>0</v>
      </c>
      <c r="AX32" s="38">
        <f t="shared" si="10"/>
        <v>0</v>
      </c>
      <c r="AY32" s="7">
        <f t="shared" si="4"/>
        <v>2.0833333333333301E-2</v>
      </c>
      <c r="AZ32" s="5">
        <f t="shared" si="5"/>
        <v>0</v>
      </c>
      <c r="BA32" s="39">
        <f t="shared" si="7"/>
        <v>0</v>
      </c>
      <c r="BB32" s="5">
        <f t="shared" si="6"/>
        <v>0.33333333333333331</v>
      </c>
    </row>
    <row r="33" spans="2:54" ht="18.75" x14ac:dyDescent="0.3">
      <c r="B33" s="43">
        <f>IF(B32&lt;&gt;"",IF(MONTH($B$1)&lt;MONTH(B32+1),"",B32+1),"")</f>
        <v>41971</v>
      </c>
      <c r="C33" s="44">
        <f t="shared" si="9"/>
        <v>41971</v>
      </c>
      <c r="D33" s="3"/>
      <c r="E33" s="62"/>
      <c r="F33" s="62"/>
      <c r="G33" s="62"/>
      <c r="H33" s="62"/>
      <c r="I33" s="62" t="str">
        <f t="shared" ca="1" si="0"/>
        <v/>
      </c>
      <c r="J33" s="52">
        <f>IF(B33&lt;&gt;"",IF(AND(Feiertage!$G$2&lt;&gt;"ja",AV33=1),IF(AZ33&gt;0,BB33+AZ33,BB33),IF(AZ33=0,0, IF(I33&lt;&gt;"",AZ33-I33,AZ33)))+AX33,"")</f>
        <v>0</v>
      </c>
      <c r="K33" s="62">
        <f>IF(B33&lt;&gt;"",IF(AV33=0,BB33,IF(Feiertage!$G$2="ja","00:00",BB33)),"")</f>
        <v>0.33333333333333331</v>
      </c>
      <c r="L33" s="52" t="str">
        <f t="shared" ca="1" si="11"/>
        <v/>
      </c>
      <c r="M33" s="50" t="str">
        <f>IF(AV33=1,AU33,IF(LOWER(AW33)=LOWER(Urlaub!$W$19),Urlaub!$S$19,
IF(LOWER(AW33)=LOWER(Urlaub!$W$20),Urlaub!$S$20,
IF(LOWER(AW33)=LOWER(Urlaub!$W$21),Urlaub!$S$21,
IF(LOWER(AW33)=LOWER(Urlaub!$W$22),Urlaub!$S$22,
IF(LOWER(AW33)=LOWER(Urlaub!$W$23),Urlaub!$S$23,
IF(LOWER(AW33)=LOWER(Urlaub!$W$24),Urlaub!$S$24,""))))))&amp;IF(AND(EXACT(LOWER(AW33),AW33),AW33&lt;&gt;0)," 1/2",""))</f>
        <v/>
      </c>
      <c r="N33" s="53">
        <f>IF(J33&lt;&gt;"",24*J33*IF(WEEKDAY(C33)=WEEKDAY($P$6),$S$6,
IF(WEEKDAY(C33)=WEEKDAY($P$7),$S$7,
IF(WEEKDAY(C33)=WEEKDAY($P$8),$S$8,
IF(WEEKDAY(C33)=WEEKDAY($P$9),$S$9,
IF(WEEKDAY(C33)=WEEKDAY($P$10),$S$10,
IF(WEEKDAY(C33)=WEEKDAY($P$11),$S$11,
IF(WEEKDAY(C33)=WEEKDAY($P$12),$S$12,""))))))),"")</f>
        <v>0</v>
      </c>
      <c r="AU33" t="str">
        <f>IF(AV33=1,VLOOKUP($B33,Feiertage!$B$2:$D$49,3,FALSE),"")</f>
        <v/>
      </c>
      <c r="AV33">
        <f>IF(IFERROR(MATCH($B33,Feiertage!$B$2:$B$49,0)&gt;0,0),1,0)</f>
        <v>0</v>
      </c>
      <c r="AW33" s="22">
        <f>IFERROR(HLOOKUP(DAY(B33),Urlaub!$C$4:$AG$16,MONTH(B33)+1,FALSE),0)</f>
        <v>0</v>
      </c>
      <c r="AX33" s="38">
        <f t="shared" si="10"/>
        <v>0</v>
      </c>
      <c r="AY33" s="7">
        <f t="shared" si="4"/>
        <v>2.0833333333333301E-2</v>
      </c>
      <c r="AZ33" s="5">
        <f t="shared" si="5"/>
        <v>0</v>
      </c>
      <c r="BA33" s="39">
        <f t="shared" si="7"/>
        <v>0</v>
      </c>
      <c r="BB33" s="5">
        <f t="shared" si="6"/>
        <v>0.33333333333333331</v>
      </c>
    </row>
    <row r="34" spans="2:54" ht="18.75" x14ac:dyDescent="0.3">
      <c r="B34" s="43">
        <f t="shared" ref="B34:B35" si="12">IF(B33&lt;&gt;"",IF(MONTH($B$1)&lt;MONTH(B33+1),"",B33+1),"")</f>
        <v>41972</v>
      </c>
      <c r="C34" s="44">
        <f t="shared" si="9"/>
        <v>41972</v>
      </c>
      <c r="D34" s="3"/>
      <c r="E34" s="62"/>
      <c r="F34" s="62"/>
      <c r="G34" s="62"/>
      <c r="H34" s="62"/>
      <c r="I34" s="62" t="str">
        <f t="shared" ca="1" si="0"/>
        <v/>
      </c>
      <c r="J34" s="52">
        <f>IF(B34&lt;&gt;"",IF(AND(Feiertage!$G$2&lt;&gt;"ja",AV34=1),IF(AZ34&gt;0,BB34+AZ34,BB34),IF(AZ34=0,0, IF(I34&lt;&gt;"",AZ34-I34,AZ34)))+AX34,"")</f>
        <v>0</v>
      </c>
      <c r="K34" s="62">
        <f>IF(B34&lt;&gt;"",IF(AV34=0,BB34,IF(Feiertage!$G$2="ja","00:00",BB34)),"")</f>
        <v>0.33333333333333331</v>
      </c>
      <c r="L34" s="52" t="str">
        <f t="shared" ca="1" si="11"/>
        <v/>
      </c>
      <c r="M34" s="50" t="str">
        <f>IF(AV34=1,AU34,IF(LOWER(AW34)=LOWER(Urlaub!$W$19),Urlaub!$S$19,
IF(LOWER(AW34)=LOWER(Urlaub!$W$20),Urlaub!$S$20,
IF(LOWER(AW34)=LOWER(Urlaub!$W$21),Urlaub!$S$21,
IF(LOWER(AW34)=LOWER(Urlaub!$W$22),Urlaub!$S$22,
IF(LOWER(AW34)=LOWER(Urlaub!$W$23),Urlaub!$S$23,
IF(LOWER(AW34)=LOWER(Urlaub!$W$24),Urlaub!$S$24,""))))))&amp;IF(AND(EXACT(LOWER(AW34),AW34),AW34&lt;&gt;0)," 1/2",""))</f>
        <v/>
      </c>
      <c r="N34" s="53">
        <f>IF(J34&lt;&gt;"",24*J34*IF(WEEKDAY(C34)=WEEKDAY($P$6),$S$6,
IF(WEEKDAY(C34)=WEEKDAY($P$7),$S$7,
IF(WEEKDAY(C34)=WEEKDAY($P$8),$S$8,
IF(WEEKDAY(C34)=WEEKDAY($P$9),$S$9,
IF(WEEKDAY(C34)=WEEKDAY($P$10),$S$10,
IF(WEEKDAY(C34)=WEEKDAY($P$11),$S$11,
IF(WEEKDAY(C34)=WEEKDAY($P$12),$S$12,""))))))),"")</f>
        <v>0</v>
      </c>
      <c r="AU34" t="str">
        <f>IF(AV34=1,VLOOKUP($B34,Feiertage!$B$2:$D$49,3,FALSE),"")</f>
        <v/>
      </c>
      <c r="AV34">
        <f>IF(IFERROR(MATCH($B34,Feiertage!$B$2:$B$49,0)&gt;0,0),1,0)</f>
        <v>0</v>
      </c>
      <c r="AW34" s="22">
        <f>IFERROR(HLOOKUP(DAY(B34),Urlaub!$C$4:$AG$16,MONTH(B34)+1,FALSE),0)</f>
        <v>0</v>
      </c>
      <c r="AX34" s="38">
        <f t="shared" si="10"/>
        <v>0</v>
      </c>
      <c r="AY34" s="7">
        <f t="shared" si="4"/>
        <v>2.0833333333333301E-2</v>
      </c>
      <c r="AZ34" s="5">
        <f t="shared" si="5"/>
        <v>0</v>
      </c>
      <c r="BA34" s="39">
        <f t="shared" si="7"/>
        <v>0</v>
      </c>
      <c r="BB34" s="5">
        <f t="shared" si="6"/>
        <v>0.33333333333333331</v>
      </c>
    </row>
    <row r="35" spans="2:54" ht="19.5" thickBot="1" x14ac:dyDescent="0.35">
      <c r="B35" s="70" t="str">
        <f t="shared" si="12"/>
        <v/>
      </c>
      <c r="C35" s="71" t="str">
        <f t="shared" si="9"/>
        <v/>
      </c>
      <c r="D35" s="72"/>
      <c r="E35" s="73"/>
      <c r="F35" s="73"/>
      <c r="G35" s="73"/>
      <c r="H35" s="74"/>
      <c r="I35" s="74" t="str">
        <f t="shared" ca="1" si="0"/>
        <v/>
      </c>
      <c r="J35" s="76" t="str">
        <f>IF(B35&lt;&gt;"",IF(AND(Feiertage!$G$2&lt;&gt;"ja",AV35=1),IF(AZ35&gt;0,BB35+AZ35,BB35),IF(AZ35=0,0, IF(I35&lt;&gt;"",AZ35-I35,AZ35)))+AX35,"")</f>
        <v/>
      </c>
      <c r="K35" s="73" t="str">
        <f>IF(B35&lt;&gt;"",IF(AV35=0,BB35,IF(Feiertage!$G$2="ja","00:00",BB35)),"")</f>
        <v/>
      </c>
      <c r="L35" s="52" t="str">
        <f t="shared" ca="1" si="11"/>
        <v/>
      </c>
      <c r="M35" s="50" t="str">
        <f>IF(AV35=1,AU35,IF(LOWER(AW35)=LOWER(Urlaub!$W$19),Urlaub!$S$19,
IF(LOWER(AW35)=LOWER(Urlaub!$W$20),Urlaub!$S$20,
IF(LOWER(AW35)=LOWER(Urlaub!$W$21),Urlaub!$S$21,
IF(LOWER(AW35)=LOWER(Urlaub!$W$22),Urlaub!$S$22,
IF(LOWER(AW35)=LOWER(Urlaub!$W$23),Urlaub!$S$23,
IF(LOWER(AW35)=LOWER(Urlaub!$W$24),Urlaub!$S$24,""))))))&amp;IF(AND(EXACT(LOWER(AW35),AW35),AW35&lt;&gt;0)," 1/2",""))</f>
        <v/>
      </c>
      <c r="N35" s="77" t="str">
        <f>IF(J35&lt;&gt;"",24*J35*IF(WEEKDAY(C35)=WEEKDAY($P$6),$S$6,
IF(WEEKDAY(C35)=WEEKDAY($P$7),$S$7,
IF(WEEKDAY(C35)=WEEKDAY($P$8),$S$8,
IF(WEEKDAY(C35)=WEEKDAY($P$9),$S$9,
IF(WEEKDAY(C35)=WEEKDAY($P$10),$S$10,
IF(WEEKDAY(C35)=WEEKDAY($P$11),$S$11,
IF(WEEKDAY(C35)=WEEKDAY($P$12),$S$12,""))))))),"")</f>
        <v/>
      </c>
      <c r="AU35" t="str">
        <f>IF(AV35=1,VLOOKUP($B35,Feiertage!$B$2:$D$49,3,FALSE),"")</f>
        <v/>
      </c>
      <c r="AV35">
        <f>IF(IFERROR(MATCH($B35,Feiertage!$B$2:$B$49,0)&gt;0,0),1,0)</f>
        <v>0</v>
      </c>
      <c r="AW35" s="22">
        <f>IFERROR(HLOOKUP(DAY(B35),Urlaub!$C$4:$AG$16,MONTH(B35)+1,FALSE),0)</f>
        <v>0</v>
      </c>
      <c r="AX35" s="38">
        <f t="shared" si="10"/>
        <v>0</v>
      </c>
      <c r="AY35" s="7" t="str">
        <f t="shared" si="4"/>
        <v/>
      </c>
      <c r="AZ35" s="5">
        <f t="shared" si="5"/>
        <v>0</v>
      </c>
      <c r="BA35" s="39">
        <f t="shared" si="7"/>
        <v>0</v>
      </c>
      <c r="BB35" s="5" t="str">
        <f t="shared" si="6"/>
        <v/>
      </c>
    </row>
    <row r="36" spans="2:54" ht="5.25" customHeight="1" thickTop="1" thickBot="1" x14ac:dyDescent="0.3">
      <c r="B36" s="1"/>
      <c r="H36" s="75"/>
      <c r="I36" s="75"/>
      <c r="J36" s="75"/>
      <c r="K36" s="2"/>
      <c r="L36" s="75"/>
    </row>
    <row r="37" spans="2:54" ht="24" thickBot="1" x14ac:dyDescent="0.4">
      <c r="B37" s="139" t="s">
        <v>74</v>
      </c>
      <c r="C37" s="140"/>
      <c r="D37" s="140"/>
      <c r="E37" s="140"/>
      <c r="F37" s="140"/>
      <c r="G37" s="140"/>
      <c r="H37" s="140"/>
      <c r="I37" s="141"/>
      <c r="J37" s="47">
        <f>SUM(J5:J35)</f>
        <v>0</v>
      </c>
      <c r="K37" s="47">
        <f t="shared" ref="K37" si="13">SUM(K5:K35)</f>
        <v>7.3333333333333304</v>
      </c>
      <c r="L37" s="47">
        <f ca="1">SUM(L5:L35)</f>
        <v>0</v>
      </c>
      <c r="M37" s="47">
        <f>SUM(AX5:AX35)</f>
        <v>0</v>
      </c>
      <c r="N37" s="48">
        <f t="shared" ref="N37" si="14">SUM(N5:N35)</f>
        <v>0</v>
      </c>
    </row>
    <row r="38" spans="2:54" x14ac:dyDescent="0.25">
      <c r="B38" s="1"/>
    </row>
    <row r="39" spans="2:54" x14ac:dyDescent="0.25">
      <c r="B39" s="1"/>
    </row>
  </sheetData>
  <sheetProtection algorithmName="SHA-512" hashValue="t+ExFp+42+b1bdehAhluophp0wXePoHGQYvWVXe97iI+1+ezXHRGQ3K4Rrqf+1vaiROYfLOyQJzEfzuWIgBGmg==" saltValue="lD7CyCYeEKZ+JZbsP1sjGw==" spinCount="100000" sheet="1" selectLockedCells="1"/>
  <customSheetViews>
    <customSheetView guid="{4652D98A-10A8-4A41-BE02-6BC110D8BB01}" showGridLines="0">
      <pane xSplit="4" ySplit="4" topLeftCell="E17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7">
    <mergeCell ref="B37:I37"/>
    <mergeCell ref="E3:H3"/>
    <mergeCell ref="B1:N1"/>
    <mergeCell ref="U4:V4"/>
    <mergeCell ref="P4:S4"/>
    <mergeCell ref="P15:V15"/>
    <mergeCell ref="P16:V18"/>
  </mergeCells>
  <conditionalFormatting sqref="B5:N35">
    <cfRule type="expression" dxfId="19" priority="2" stopIfTrue="1">
      <formula>WEEKDAY($B5,2)&gt;5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FED5FD47-C418-4379-B0E2-CE7932DF52F6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B5:N35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B39"/>
  <sheetViews>
    <sheetView showGridLines="0" workbookViewId="0">
      <pane xSplit="4" ySplit="4" topLeftCell="E5" activePane="bottomRight" state="frozen"/>
      <selection activeCell="B1" sqref="B1:N1"/>
      <selection pane="topRight" activeCell="B1" sqref="B1:N1"/>
      <selection pane="bottomLeft" activeCell="B1" sqref="B1:N1"/>
      <selection pane="bottomRight" activeCell="E5" sqref="E5"/>
    </sheetView>
  </sheetViews>
  <sheetFormatPr baseColWidth="10" defaultRowHeight="15" x14ac:dyDescent="0.25"/>
  <cols>
    <col min="1" max="1" width="2.28515625" customWidth="1"/>
    <col min="2" max="2" width="8.85546875" customWidth="1"/>
    <col min="3" max="3" width="7.28515625" customWidth="1"/>
    <col min="4" max="4" width="1" customWidth="1"/>
    <col min="5" max="8" width="7.7109375" customWidth="1"/>
    <col min="9" max="9" width="8" customWidth="1"/>
    <col min="10" max="10" width="12.42578125" customWidth="1"/>
    <col min="11" max="11" width="12.140625" customWidth="1"/>
    <col min="12" max="12" width="12.85546875" customWidth="1"/>
    <col min="13" max="13" width="20.5703125" bestFit="1" customWidth="1"/>
    <col min="14" max="14" width="17.85546875" customWidth="1"/>
    <col min="15" max="15" width="4.28515625" customWidth="1"/>
    <col min="16" max="16" width="18.7109375" customWidth="1"/>
    <col min="17" max="17" width="12.28515625" customWidth="1"/>
    <col min="18" max="18" width="11.140625" customWidth="1"/>
    <col min="19" max="19" width="15.7109375" customWidth="1"/>
    <col min="20" max="20" width="4.140625" customWidth="1"/>
    <col min="21" max="21" width="29.140625" customWidth="1"/>
    <col min="22" max="22" width="16" customWidth="1"/>
    <col min="47" max="55" width="13.7109375" customWidth="1"/>
  </cols>
  <sheetData>
    <row r="1" spans="1:54" ht="24.75" customHeight="1" thickBot="1" x14ac:dyDescent="0.5">
      <c r="A1" s="117">
        <v>41639</v>
      </c>
      <c r="B1" s="142">
        <f>EDATE(Januar!$A$1,11)</f>
        <v>41973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54" s="21" customFormat="1" ht="24.75" customHeight="1" thickBot="1" x14ac:dyDescent="0.5">
      <c r="B2" s="59"/>
      <c r="C2" s="59"/>
      <c r="D2" s="59"/>
      <c r="E2" s="60"/>
      <c r="F2" s="60"/>
      <c r="G2" s="60"/>
      <c r="H2" s="60"/>
      <c r="I2" s="59"/>
      <c r="J2" s="59"/>
      <c r="K2" s="59"/>
      <c r="L2" s="59"/>
      <c r="M2" s="59"/>
      <c r="N2" s="59"/>
    </row>
    <row r="3" spans="1:54" ht="19.5" thickBot="1" x14ac:dyDescent="0.35">
      <c r="B3" s="58"/>
      <c r="C3" s="58"/>
      <c r="D3" s="58"/>
      <c r="E3" s="145" t="s">
        <v>0</v>
      </c>
      <c r="F3" s="146"/>
      <c r="G3" s="146"/>
      <c r="H3" s="147"/>
      <c r="I3" s="58"/>
      <c r="J3" s="58"/>
      <c r="K3" s="58"/>
      <c r="L3" s="58"/>
      <c r="M3" s="58"/>
      <c r="N3" s="58"/>
      <c r="O3" s="2"/>
    </row>
    <row r="4" spans="1:54" ht="19.5" thickBot="1" x14ac:dyDescent="0.35">
      <c r="B4" s="41" t="s">
        <v>4</v>
      </c>
      <c r="C4" s="41" t="s">
        <v>5</v>
      </c>
      <c r="D4" s="42"/>
      <c r="E4" s="41" t="s">
        <v>1</v>
      </c>
      <c r="F4" s="41" t="s">
        <v>2</v>
      </c>
      <c r="G4" s="41" t="s">
        <v>1</v>
      </c>
      <c r="H4" s="41" t="s">
        <v>2</v>
      </c>
      <c r="I4" s="41" t="s">
        <v>3</v>
      </c>
      <c r="J4" s="41" t="s">
        <v>7</v>
      </c>
      <c r="K4" s="41" t="s">
        <v>6</v>
      </c>
      <c r="L4" s="41" t="s">
        <v>11</v>
      </c>
      <c r="M4" s="41" t="s">
        <v>56</v>
      </c>
      <c r="N4" s="41" t="s">
        <v>71</v>
      </c>
      <c r="O4" s="20"/>
      <c r="P4" s="150" t="s">
        <v>10</v>
      </c>
      <c r="Q4" s="151"/>
      <c r="R4" s="151"/>
      <c r="S4" s="152"/>
      <c r="U4" s="148" t="s">
        <v>81</v>
      </c>
      <c r="V4" s="149"/>
      <c r="AU4" s="36" t="s">
        <v>46</v>
      </c>
      <c r="AV4" s="36" t="s">
        <v>46</v>
      </c>
      <c r="AW4" s="37" t="s">
        <v>66</v>
      </c>
      <c r="AX4" s="36" t="s">
        <v>67</v>
      </c>
      <c r="AY4" s="6" t="s">
        <v>3</v>
      </c>
      <c r="AZ4" s="36" t="s">
        <v>7</v>
      </c>
      <c r="BA4" s="36" t="s">
        <v>72</v>
      </c>
      <c r="BB4" s="6" t="s">
        <v>6</v>
      </c>
    </row>
    <row r="5" spans="1:54" ht="21.75" thickBot="1" x14ac:dyDescent="0.4">
      <c r="B5" s="45">
        <f>B1</f>
        <v>41973</v>
      </c>
      <c r="C5" s="46">
        <f>B5</f>
        <v>41973</v>
      </c>
      <c r="D5" s="3"/>
      <c r="E5" s="61"/>
      <c r="F5" s="61"/>
      <c r="G5" s="61"/>
      <c r="H5" s="61"/>
      <c r="I5" s="61" t="str">
        <f t="shared" ref="I5:I35" ca="1" si="0">IF(AZ5=0,"",IF(AY5=0,"",IF(OR(B5&lt;=TODAY(),AZ5),AY5,"")))</f>
        <v/>
      </c>
      <c r="J5" s="49">
        <f>IF(AND(Feiertage!$G$2&lt;&gt;"ja",AV5=1),IF(AZ5&gt;0,BB5+AZ5,BB5),IF(AZ5=0,0, IF(I5&lt;&gt;"",AZ5-I5,AZ5)))+AX5</f>
        <v>0</v>
      </c>
      <c r="K5" s="61">
        <f>IF(AV5=0,BB5,IF(Feiertage!$G$2="ja","00:00",BB5))</f>
        <v>0</v>
      </c>
      <c r="L5" s="52" t="str">
        <f t="shared" ref="L5:L18" ca="1" si="1">IF(OR(B5&lt;=TODAY(),J5,AW5="G"),IF(J5&lt;&gt;"",IF(J5-K5=0,"",J5-K5),IF(K5&lt;&gt;"",-K5,"")),"")</f>
        <v/>
      </c>
      <c r="M5" s="50" t="str">
        <f>IF(AV5=1,AU5,IF(LOWER(AW5)=LOWER(Urlaub!$W$19),Urlaub!$S$19,
IF(LOWER(AW5)=LOWER(Urlaub!$W$20),Urlaub!$S$20,
IF(LOWER(AW5)=LOWER(Urlaub!$W$21),Urlaub!$S$21,
IF(LOWER(AW5)=LOWER(Urlaub!$W$22),Urlaub!$S$22,
IF(LOWER(AW5)=LOWER(Urlaub!$W$23),Urlaub!$S$23,
IF(LOWER(AW5)=LOWER(Urlaub!$W$24),Urlaub!$S$24,""))))))&amp;IF(AND(EXACT(LOWER(AW5),AW5),AW5&lt;&gt;0)," 1/2",""))</f>
        <v/>
      </c>
      <c r="N5" s="51">
        <f t="shared" ref="N5:N32" si="2">24*J5*IF(WEEKDAY(C5)=WEEKDAY($P$6),$S$6,
IF(WEEKDAY(C5)=WEEKDAY($P$7),$S$7,
IF(WEEKDAY(C5)=WEEKDAY($P$8),$S$8,
IF(WEEKDAY(C5)=WEEKDAY($P$9),$S$9,
IF(WEEKDAY(C5)=WEEKDAY($P$10),$S$10,
IF(WEEKDAY(C5)=WEEKDAY($P$11),$S$11,
IF(WEEKDAY(C5)=WEEKDAY($P$12),$S$12,"")))))))</f>
        <v>0</v>
      </c>
      <c r="P5" s="41" t="s">
        <v>8</v>
      </c>
      <c r="Q5" s="41" t="s">
        <v>6</v>
      </c>
      <c r="R5" s="41" t="s">
        <v>3</v>
      </c>
      <c r="S5" s="41" t="s">
        <v>70</v>
      </c>
      <c r="U5" s="112" t="str">
        <f xml:space="preserve"> "Übertrag aus " &amp; IF( MONTH(B1)=1, YEAR(B1)-1, TEXT(EDATE(B1,-1),"MMMM"))</f>
        <v>Übertrag aus November</v>
      </c>
      <c r="V5" s="130">
        <f ca="1">IF(MONTH(B1)&gt;1,INDIRECT(TEXT(EDATE(B1,-1),"MMMM")&amp;"!v10"),"")</f>
        <v>-50.999999999999986</v>
      </c>
      <c r="AU5" t="str">
        <f>IF(AV5=1,VLOOKUP($B5,Feiertage!$B$2:$D$49,3,FALSE),"")</f>
        <v/>
      </c>
      <c r="AV5">
        <f>IF(IFERROR(MATCH($B5,Feiertage!$B$2:$B$49,0)&gt;0,0),1,0)</f>
        <v>0</v>
      </c>
      <c r="AW5" s="22">
        <f>IFERROR(HLOOKUP(DAY(B5),Urlaub!$C$4:$AG$16,MONTH(B5)+1,FALSE),0)</f>
        <v>0</v>
      </c>
      <c r="AX5" s="38">
        <f t="shared" ref="AX5:AX16" si="3">IFERROR(IF(AW5=0,0,IF(EXACT(LOWER(AW5),AW5),0.5*BB5,BB5)),"")</f>
        <v>0</v>
      </c>
      <c r="AY5" s="7">
        <f t="shared" ref="AY5:AY35" si="4">IFERROR(IF(WEEKDAY(C5)=WEEKDAY($P$6),$R$6,
IF(WEEKDAY(C5)=WEEKDAY($P$7),$R$7,
IF(WEEKDAY(C5)=WEEKDAY($P$8),$R$8,
IF(WEEKDAY(C5)=WEEKDAY($P$9),$R$9,
IF(WEEKDAY(C5)=WEEKDAY($P$10),$R$10,
IF(WEEKDAY(C5)=WEEKDAY($P$11),$R$11,
IF(WEEKDAY(C5)=WEEKDAY($P$12),$R$12,""))))))),"")</f>
        <v>2.0833333333333301E-2</v>
      </c>
      <c r="AZ5" s="5">
        <f t="shared" ref="AZ5:AZ35" si="5">IF(F5,IF(E5,IF(E5&gt;F5,F5+"24:00"-E5,F5-E5),0),0)+IF(G5,IF(G5,IF(G5&gt;H5,H5+"24:00"-G5,H5-G5),0),0)</f>
        <v>0</v>
      </c>
      <c r="BA5" s="39">
        <f>AZ5*24</f>
        <v>0</v>
      </c>
      <c r="BB5" s="5">
        <f t="shared" ref="BB5:BB35" si="6">IFERROR(IF(WEEKDAY(C5)=WEEKDAY($P$6),$Q$6,
IF(WEEKDAY(C5)=WEEKDAY($P$7),$Q$7,
IF(WEEKDAY(C5)=WEEKDAY($P$8),$Q$8,
IF(WEEKDAY(C5)=WEEKDAY($P$9),$Q$9,
IF(WEEKDAY(C5)=WEEKDAY($P$10),$Q$10,
IF(WEEKDAY(C5)=WEEKDAY($P$11),$Q$11,
IF(WEEKDAY(C5)=WEEKDAY($P$12),$Q$12,""))))))),"")</f>
        <v>0</v>
      </c>
    </row>
    <row r="6" spans="1:54" ht="21" x14ac:dyDescent="0.35">
      <c r="B6" s="43">
        <f>B5+1</f>
        <v>41974</v>
      </c>
      <c r="C6" s="44">
        <f>B6</f>
        <v>41974</v>
      </c>
      <c r="D6" s="3"/>
      <c r="E6" s="62"/>
      <c r="F6" s="62"/>
      <c r="G6" s="62"/>
      <c r="H6" s="62"/>
      <c r="I6" s="62" t="str">
        <f t="shared" ca="1" si="0"/>
        <v/>
      </c>
      <c r="J6" s="52">
        <f>IF(AND(Feiertage!$G$2&lt;&gt;"ja",AV6=1),IF(AZ6&gt;0,BB6+AZ6,BB6),IF(AZ6=0,0, IF(I6&lt;&gt;"",AZ6-I6,AZ6)))+AX6</f>
        <v>0</v>
      </c>
      <c r="K6" s="62">
        <f>IF(AV6=0,BB6,IF(Feiertage!$G$2="ja","00:00",BB6))</f>
        <v>0</v>
      </c>
      <c r="L6" s="52" t="str">
        <f t="shared" ca="1" si="1"/>
        <v/>
      </c>
      <c r="M6" s="50" t="str">
        <f>IF(AV6=1,AU6,IF(LOWER(AW6)=LOWER(Urlaub!$W$19),Urlaub!$S$19,
IF(LOWER(AW6)=LOWER(Urlaub!$W$20),Urlaub!$S$20,
IF(LOWER(AW6)=LOWER(Urlaub!$W$21),Urlaub!$S$21,
IF(LOWER(AW6)=LOWER(Urlaub!$W$22),Urlaub!$S$22,
IF(LOWER(AW6)=LOWER(Urlaub!$W$23),Urlaub!$S$23,
IF(LOWER(AW6)=LOWER(Urlaub!$W$24),Urlaub!$S$24,""))))))&amp;IF(AND(EXACT(LOWER(AW6),AW6),AW6&lt;&gt;0)," 1/2",""))</f>
        <v/>
      </c>
      <c r="N6" s="53">
        <f t="shared" si="2"/>
        <v>0</v>
      </c>
      <c r="P6" s="54">
        <v>41639</v>
      </c>
      <c r="Q6" s="63">
        <v>0.33333333333333331</v>
      </c>
      <c r="R6" s="63">
        <v>2.0833333333333332E-2</v>
      </c>
      <c r="S6" s="64"/>
      <c r="U6" s="114" t="s">
        <v>6</v>
      </c>
      <c r="V6" s="113">
        <f>SUM(K5:K35)</f>
        <v>6.9999999999999973</v>
      </c>
      <c r="AU6" t="str">
        <f>IF(AV6=1,VLOOKUP($B6,Feiertage!$B$2:$D$49,3,FALSE),"")</f>
        <v/>
      </c>
      <c r="AV6">
        <f>IF(IFERROR(MATCH($B6,Feiertage!$B$2:$B$49,0)&gt;0,0),1,0)</f>
        <v>0</v>
      </c>
      <c r="AW6" s="22">
        <f>IFERROR(HLOOKUP(DAY(B6),Urlaub!$C$4:$AG$16,MONTH(B6)+1,FALSE),0)</f>
        <v>0</v>
      </c>
      <c r="AX6" s="38">
        <f t="shared" si="3"/>
        <v>0</v>
      </c>
      <c r="AY6" s="7">
        <f t="shared" si="4"/>
        <v>2.0833333333333301E-2</v>
      </c>
      <c r="AZ6" s="5">
        <f t="shared" si="5"/>
        <v>0</v>
      </c>
      <c r="BA6" s="39">
        <f t="shared" ref="BA6:BA35" si="7">AZ6*24</f>
        <v>0</v>
      </c>
      <c r="BB6" s="5">
        <f t="shared" si="6"/>
        <v>0</v>
      </c>
    </row>
    <row r="7" spans="1:54" ht="21" x14ac:dyDescent="0.35">
      <c r="B7" s="43">
        <f t="shared" ref="B7:B32" si="8">B6+1</f>
        <v>41975</v>
      </c>
      <c r="C7" s="44">
        <f t="shared" ref="C7:C35" si="9">B7</f>
        <v>41975</v>
      </c>
      <c r="D7" s="3"/>
      <c r="E7" s="62"/>
      <c r="F7" s="62"/>
      <c r="G7" s="62"/>
      <c r="H7" s="62"/>
      <c r="I7" s="62" t="str">
        <f t="shared" ca="1" si="0"/>
        <v/>
      </c>
      <c r="J7" s="52">
        <f>IF(AND(Feiertage!$G$2&lt;&gt;"ja",AV7=1),IF(AZ7&gt;0,BB7+AZ7,BB7),IF(AZ7=0,0, IF(I7&lt;&gt;"",AZ7-I7,AZ7)))+AX7</f>
        <v>0</v>
      </c>
      <c r="K7" s="62">
        <f>IF(AV7=0,BB7,IF(Feiertage!$G$2="ja","00:00",BB7))</f>
        <v>0.33333333333333331</v>
      </c>
      <c r="L7" s="52" t="str">
        <f t="shared" ca="1" si="1"/>
        <v/>
      </c>
      <c r="M7" s="50" t="str">
        <f>IF(AV7=1,AU7,IF(LOWER(AW7)=LOWER(Urlaub!$W$19),Urlaub!$S$19,
IF(LOWER(AW7)=LOWER(Urlaub!$W$20),Urlaub!$S$20,
IF(LOWER(AW7)=LOWER(Urlaub!$W$21),Urlaub!$S$21,
IF(LOWER(AW7)=LOWER(Urlaub!$W$22),Urlaub!$S$22,
IF(LOWER(AW7)=LOWER(Urlaub!$W$23),Urlaub!$S$23,
IF(LOWER(AW7)=LOWER(Urlaub!$W$24),Urlaub!$S$24,""))))))&amp;IF(AND(EXACT(LOWER(AW7),AW7),AW7&lt;&gt;0)," 1/2",""))</f>
        <v/>
      </c>
      <c r="N7" s="53">
        <f t="shared" si="2"/>
        <v>0</v>
      </c>
      <c r="P7" s="55">
        <v>41640</v>
      </c>
      <c r="Q7" s="65">
        <v>0.33333333333333331</v>
      </c>
      <c r="R7" s="63">
        <v>2.0833333333333332E-2</v>
      </c>
      <c r="S7" s="66"/>
      <c r="U7" s="114" t="s">
        <v>7</v>
      </c>
      <c r="V7" s="113">
        <f>SUM(J5:J35)</f>
        <v>0.66666666666666663</v>
      </c>
      <c r="AU7" t="str">
        <f>IF(AV7=1,VLOOKUP($B7,Feiertage!$B$2:$D$49,3,FALSE),"")</f>
        <v/>
      </c>
      <c r="AV7">
        <f>IF(IFERROR(MATCH($B7,Feiertage!$B$2:$B$49,0)&gt;0,0),1,0)</f>
        <v>0</v>
      </c>
      <c r="AW7" s="22">
        <f>IFERROR(HLOOKUP(DAY(B7),Urlaub!$C$4:$AG$16,MONTH(B7)+1,FALSE),0)</f>
        <v>0</v>
      </c>
      <c r="AX7" s="38">
        <f t="shared" si="3"/>
        <v>0</v>
      </c>
      <c r="AY7" s="7">
        <f t="shared" si="4"/>
        <v>2.0833333333333332E-2</v>
      </c>
      <c r="AZ7" s="5">
        <f t="shared" si="5"/>
        <v>0</v>
      </c>
      <c r="BA7" s="39">
        <f t="shared" si="7"/>
        <v>0</v>
      </c>
      <c r="BB7" s="5">
        <f t="shared" si="6"/>
        <v>0.33333333333333331</v>
      </c>
    </row>
    <row r="8" spans="1:54" ht="21" x14ac:dyDescent="0.35">
      <c r="B8" s="43">
        <f t="shared" si="8"/>
        <v>41976</v>
      </c>
      <c r="C8" s="44">
        <f t="shared" si="9"/>
        <v>41976</v>
      </c>
      <c r="D8" s="3"/>
      <c r="E8" s="62"/>
      <c r="F8" s="62"/>
      <c r="G8" s="62"/>
      <c r="H8" s="62"/>
      <c r="I8" s="62" t="str">
        <f t="shared" ca="1" si="0"/>
        <v/>
      </c>
      <c r="J8" s="52">
        <f>IF(AND(Feiertage!$G$2&lt;&gt;"ja",AV8=1),IF(AZ8&gt;0,BB8+AZ8,BB8),IF(AZ8=0,0, IF(I8&lt;&gt;"",AZ8-I8,AZ8)))+AX8</f>
        <v>0</v>
      </c>
      <c r="K8" s="62">
        <f>IF(AV8=0,BB8,IF(Feiertage!$G$2="ja","00:00",BB8))</f>
        <v>0.33333333333333331</v>
      </c>
      <c r="L8" s="52" t="str">
        <f t="shared" ca="1" si="1"/>
        <v/>
      </c>
      <c r="M8" s="50" t="str">
        <f>IF(AV8=1,AU8,IF(LOWER(AW8)=LOWER(Urlaub!$W$19),Urlaub!$S$19,
IF(LOWER(AW8)=LOWER(Urlaub!$W$20),Urlaub!$S$20,
IF(LOWER(AW8)=LOWER(Urlaub!$W$21),Urlaub!$S$21,
IF(LOWER(AW8)=LOWER(Urlaub!$W$22),Urlaub!$S$22,
IF(LOWER(AW8)=LOWER(Urlaub!$W$23),Urlaub!$S$23,
IF(LOWER(AW8)=LOWER(Urlaub!$W$24),Urlaub!$S$24,""))))))&amp;IF(AND(EXACT(LOWER(AW8),AW8),AW8&lt;&gt;0)," 1/2",""))</f>
        <v/>
      </c>
      <c r="N8" s="53">
        <f t="shared" si="2"/>
        <v>0</v>
      </c>
      <c r="P8" s="55">
        <v>41641</v>
      </c>
      <c r="Q8" s="65">
        <v>0.33333333333333331</v>
      </c>
      <c r="R8" s="63">
        <v>2.0833333333333301E-2</v>
      </c>
      <c r="S8" s="66"/>
      <c r="U8" s="115" t="str">
        <f xml:space="preserve"> "Saldo " &amp; TEXT(B1,"MMMM")</f>
        <v>Saldo Dezember</v>
      </c>
      <c r="V8" s="132">
        <f ca="1">SUM(L5:L35)</f>
        <v>0</v>
      </c>
      <c r="AU8" t="str">
        <f>IF(AV8=1,VLOOKUP($B8,Feiertage!$B$2:$D$49,3,FALSE),"")</f>
        <v/>
      </c>
      <c r="AV8">
        <f>IF(IFERROR(MATCH($B8,Feiertage!$B$2:$B$49,0)&gt;0,0),1,0)</f>
        <v>0</v>
      </c>
      <c r="AW8" s="22">
        <f>IFERROR(HLOOKUP(DAY(B8),Urlaub!$C$4:$AG$16,MONTH(B8)+1,FALSE),0)</f>
        <v>0</v>
      </c>
      <c r="AX8" s="38">
        <f t="shared" si="3"/>
        <v>0</v>
      </c>
      <c r="AY8" s="7">
        <f t="shared" si="4"/>
        <v>2.0833333333333332E-2</v>
      </c>
      <c r="AZ8" s="5">
        <f t="shared" si="5"/>
        <v>0</v>
      </c>
      <c r="BA8" s="39">
        <f t="shared" si="7"/>
        <v>0</v>
      </c>
      <c r="BB8" s="5">
        <f t="shared" si="6"/>
        <v>0.33333333333333331</v>
      </c>
    </row>
    <row r="9" spans="1:54" ht="18.75" x14ac:dyDescent="0.3">
      <c r="B9" s="43">
        <f t="shared" si="8"/>
        <v>41977</v>
      </c>
      <c r="C9" s="44">
        <f t="shared" si="9"/>
        <v>41977</v>
      </c>
      <c r="D9" s="3"/>
      <c r="E9" s="62"/>
      <c r="F9" s="62"/>
      <c r="G9" s="62"/>
      <c r="H9" s="62"/>
      <c r="I9" s="62" t="str">
        <f t="shared" ca="1" si="0"/>
        <v/>
      </c>
      <c r="J9" s="52">
        <f>IF(AND(Feiertage!$G$2&lt;&gt;"ja",AV9=1),IF(AZ9&gt;0,BB9+AZ9,BB9),IF(AZ9=0,0, IF(I9&lt;&gt;"",AZ9-I9,AZ9)))+AX9</f>
        <v>0</v>
      </c>
      <c r="K9" s="62">
        <f>IF(AV9=0,BB9,IF(Feiertage!$G$2="ja","00:00",BB9))</f>
        <v>0.33333333333333331</v>
      </c>
      <c r="L9" s="52" t="str">
        <f t="shared" ca="1" si="1"/>
        <v/>
      </c>
      <c r="M9" s="50" t="str">
        <f>IF(AV9=1,AU9,IF(LOWER(AW9)=LOWER(Urlaub!$W$19),Urlaub!$S$19,
IF(LOWER(AW9)=LOWER(Urlaub!$W$20),Urlaub!$S$20,
IF(LOWER(AW9)=LOWER(Urlaub!$W$21),Urlaub!$S$21,
IF(LOWER(AW9)=LOWER(Urlaub!$W$22),Urlaub!$S$22,
IF(LOWER(AW9)=LOWER(Urlaub!$W$23),Urlaub!$S$23,
IF(LOWER(AW9)=LOWER(Urlaub!$W$24),Urlaub!$S$24,""))))))&amp;IF(AND(EXACT(LOWER(AW9),AW9),AW9&lt;&gt;0)," 1/2",""))</f>
        <v/>
      </c>
      <c r="N9" s="53">
        <f t="shared" si="2"/>
        <v>0</v>
      </c>
      <c r="P9" s="55">
        <v>41642</v>
      </c>
      <c r="Q9" s="65">
        <v>0.33333333333333331</v>
      </c>
      <c r="R9" s="63">
        <v>2.0833333333333301E-2</v>
      </c>
      <c r="S9" s="66"/>
      <c r="U9" s="131" t="s">
        <v>85</v>
      </c>
      <c r="V9" s="134"/>
      <c r="AU9" t="str">
        <f>IF(AV9=1,VLOOKUP($B9,Feiertage!$B$2:$D$49,3,FALSE),"")</f>
        <v/>
      </c>
      <c r="AV9">
        <f>IF(IFERROR(MATCH($B9,Feiertage!$B$2:$B$49,0)&gt;0,0),1,0)</f>
        <v>0</v>
      </c>
      <c r="AW9" s="22">
        <f>IFERROR(HLOOKUP(DAY(B9),Urlaub!$C$4:$AG$16,MONTH(B9)+1,FALSE),0)</f>
        <v>0</v>
      </c>
      <c r="AX9" s="38">
        <f t="shared" si="3"/>
        <v>0</v>
      </c>
      <c r="AY9" s="7">
        <f t="shared" si="4"/>
        <v>2.0833333333333301E-2</v>
      </c>
      <c r="AZ9" s="5">
        <f t="shared" si="5"/>
        <v>0</v>
      </c>
      <c r="BA9" s="39">
        <f t="shared" si="7"/>
        <v>0</v>
      </c>
      <c r="BB9" s="5">
        <f t="shared" si="6"/>
        <v>0.33333333333333331</v>
      </c>
    </row>
    <row r="10" spans="1:54" ht="21.75" thickBot="1" x14ac:dyDescent="0.4">
      <c r="B10" s="43">
        <f t="shared" si="8"/>
        <v>41978</v>
      </c>
      <c r="C10" s="44">
        <f t="shared" si="9"/>
        <v>41978</v>
      </c>
      <c r="D10" s="3"/>
      <c r="E10" s="62"/>
      <c r="F10" s="62"/>
      <c r="G10" s="62"/>
      <c r="H10" s="62"/>
      <c r="I10" s="62" t="str">
        <f t="shared" ca="1" si="0"/>
        <v/>
      </c>
      <c r="J10" s="52">
        <f>IF(AND(Feiertage!$G$2&lt;&gt;"ja",AV10=1),IF(AZ10&gt;0,BB10+AZ10,BB10),IF(AZ10=0,0, IF(I10&lt;&gt;"",AZ10-I10,AZ10)))+AX10</f>
        <v>0</v>
      </c>
      <c r="K10" s="62">
        <f>IF(AV10=0,BB10,IF(Feiertage!$G$2="ja","00:00",BB10))</f>
        <v>0.33333333333333331</v>
      </c>
      <c r="L10" s="52" t="str">
        <f t="shared" ca="1" si="1"/>
        <v/>
      </c>
      <c r="M10" s="50" t="str">
        <f>IF(AV10=1,AU10,IF(LOWER(AW10)=LOWER(Urlaub!$W$19),Urlaub!$S$19,
IF(LOWER(AW10)=LOWER(Urlaub!$W$20),Urlaub!$S$20,
IF(LOWER(AW10)=LOWER(Urlaub!$W$21),Urlaub!$S$21,
IF(LOWER(AW10)=LOWER(Urlaub!$W$22),Urlaub!$S$22,
IF(LOWER(AW10)=LOWER(Urlaub!$W$23),Urlaub!$S$23,
IF(LOWER(AW10)=LOWER(Urlaub!$W$24),Urlaub!$S$24,""))))))&amp;IF(AND(EXACT(LOWER(AW10),AW10),AW10&lt;&gt;0)," 1/2",""))</f>
        <v/>
      </c>
      <c r="N10" s="53">
        <f t="shared" si="2"/>
        <v>0</v>
      </c>
      <c r="P10" s="55">
        <v>41643</v>
      </c>
      <c r="Q10" s="65">
        <v>0.33333333333333331</v>
      </c>
      <c r="R10" s="63">
        <v>2.0833333333333301E-2</v>
      </c>
      <c r="S10" s="66"/>
      <c r="U10" s="116" t="str">
        <f xml:space="preserve"> "Übertrag in " &amp;  IF( MONTH(B1)=12, YEAR(B1)+1, TEXT(EDATE(B1,1),"MMMM"))</f>
        <v>Übertrag in 2019</v>
      </c>
      <c r="V10" s="133">
        <f ca="1">IF(V5="",0,V5)+V8+V9</f>
        <v>-50.999999999999986</v>
      </c>
      <c r="AU10" t="str">
        <f>IF(AV10=1,VLOOKUP($B10,Feiertage!$B$2:$D$49,3,FALSE),"")</f>
        <v/>
      </c>
      <c r="AV10">
        <f>IF(IFERROR(MATCH($B10,Feiertage!$B$2:$B$49,0)&gt;0,0),1,0)</f>
        <v>0</v>
      </c>
      <c r="AW10" s="22">
        <f>IFERROR(HLOOKUP(DAY(B10),Urlaub!$C$4:$AG$16,MONTH(B10)+1,FALSE),0)</f>
        <v>0</v>
      </c>
      <c r="AX10" s="38">
        <f t="shared" si="3"/>
        <v>0</v>
      </c>
      <c r="AY10" s="7">
        <f t="shared" si="4"/>
        <v>2.0833333333333301E-2</v>
      </c>
      <c r="AZ10" s="5">
        <f t="shared" si="5"/>
        <v>0</v>
      </c>
      <c r="BA10" s="39">
        <f t="shared" si="7"/>
        <v>0</v>
      </c>
      <c r="BB10" s="5">
        <f t="shared" si="6"/>
        <v>0.33333333333333331</v>
      </c>
    </row>
    <row r="11" spans="1:54" ht="18.75" x14ac:dyDescent="0.3">
      <c r="B11" s="43">
        <f t="shared" si="8"/>
        <v>41979</v>
      </c>
      <c r="C11" s="44">
        <f t="shared" si="9"/>
        <v>41979</v>
      </c>
      <c r="D11" s="3"/>
      <c r="E11" s="62"/>
      <c r="F11" s="62"/>
      <c r="G11" s="62"/>
      <c r="H11" s="62"/>
      <c r="I11" s="62" t="str">
        <f t="shared" ca="1" si="0"/>
        <v/>
      </c>
      <c r="J11" s="52">
        <f>IF(AND(Feiertage!$G$2&lt;&gt;"ja",AV11=1),IF(AZ11&gt;0,BB11+AZ11,BB11),IF(AZ11=0,0, IF(I11&lt;&gt;"",AZ11-I11,AZ11)))+AX11</f>
        <v>0</v>
      </c>
      <c r="K11" s="62">
        <f>IF(AV11=0,BB11,IF(Feiertage!$G$2="ja","00:00",BB11))</f>
        <v>0.33333333333333331</v>
      </c>
      <c r="L11" s="52" t="str">
        <f t="shared" ca="1" si="1"/>
        <v/>
      </c>
      <c r="M11" s="50" t="str">
        <f>IF(AV11=1,AU11,IF(LOWER(AW11)=LOWER(Urlaub!$W$19),Urlaub!$S$19,
IF(LOWER(AW11)=LOWER(Urlaub!$W$20),Urlaub!$S$20,
IF(LOWER(AW11)=LOWER(Urlaub!$W$21),Urlaub!$S$21,
IF(LOWER(AW11)=LOWER(Urlaub!$W$22),Urlaub!$S$22,
IF(LOWER(AW11)=LOWER(Urlaub!$W$23),Urlaub!$S$23,
IF(LOWER(AW11)=LOWER(Urlaub!$W$24),Urlaub!$S$24,""))))))&amp;IF(AND(EXACT(LOWER(AW11),AW11),AW11&lt;&gt;0)," 1/2",""))</f>
        <v/>
      </c>
      <c r="N11" s="53">
        <f t="shared" si="2"/>
        <v>0</v>
      </c>
      <c r="O11" s="21"/>
      <c r="P11" s="79">
        <v>41644</v>
      </c>
      <c r="Q11" s="67">
        <v>0</v>
      </c>
      <c r="R11" s="63">
        <v>2.0833333333333301E-2</v>
      </c>
      <c r="S11" s="66"/>
      <c r="AU11" t="str">
        <f>IF(AV11=1,VLOOKUP($B11,Feiertage!$B$2:$D$49,3,FALSE),"")</f>
        <v/>
      </c>
      <c r="AV11">
        <f>IF(IFERROR(MATCH($B11,Feiertage!$B$2:$B$49,0)&gt;0,0),1,0)</f>
        <v>0</v>
      </c>
      <c r="AW11" s="22">
        <f>IFERROR(HLOOKUP(DAY(B11),Urlaub!$C$4:$AG$16,MONTH(B11)+1,FALSE),0)</f>
        <v>0</v>
      </c>
      <c r="AX11" s="38">
        <f t="shared" si="3"/>
        <v>0</v>
      </c>
      <c r="AY11" s="7">
        <f t="shared" si="4"/>
        <v>2.0833333333333301E-2</v>
      </c>
      <c r="AZ11" s="5">
        <f>IF(F11,IF(E11,IF(E11&gt;F11,F11+"24:00"-E11,F11-E11),0),0)+IF(G11,IF(G11,IF(G11&gt;H11,H11+"24:00"-G11,H11-G11),0),0)</f>
        <v>0</v>
      </c>
      <c r="BA11" s="39">
        <f t="shared" si="7"/>
        <v>0</v>
      </c>
      <c r="BB11" s="5">
        <f t="shared" si="6"/>
        <v>0.33333333333333331</v>
      </c>
    </row>
    <row r="12" spans="1:54" ht="19.5" thickBot="1" x14ac:dyDescent="0.35">
      <c r="B12" s="43">
        <f t="shared" si="8"/>
        <v>41980</v>
      </c>
      <c r="C12" s="44">
        <f t="shared" si="9"/>
        <v>41980</v>
      </c>
      <c r="D12" s="3"/>
      <c r="E12" s="62"/>
      <c r="F12" s="62"/>
      <c r="G12" s="62"/>
      <c r="H12" s="62"/>
      <c r="I12" s="62" t="str">
        <f t="shared" ca="1" si="0"/>
        <v/>
      </c>
      <c r="J12" s="52">
        <f>IF(AND(Feiertage!$G$2&lt;&gt;"ja",AV12=1),IF(AZ12&gt;0,BB12+AZ12,BB12),IF(AZ12=0,0, IF(I12&lt;&gt;"",AZ12-I12,AZ12)))+AX12</f>
        <v>0</v>
      </c>
      <c r="K12" s="62">
        <f>IF(AV12=0,BB12,IF(Feiertage!$G$2="ja","00:00",BB12))</f>
        <v>0</v>
      </c>
      <c r="L12" s="52" t="str">
        <f t="shared" ca="1" si="1"/>
        <v/>
      </c>
      <c r="M12" s="50" t="str">
        <f>IF(AV12=1,AU12,IF(LOWER(AW12)=LOWER(Urlaub!$W$19),Urlaub!$S$19,
IF(LOWER(AW12)=LOWER(Urlaub!$W$20),Urlaub!$S$20,
IF(LOWER(AW12)=LOWER(Urlaub!$W$21),Urlaub!$S$21,
IF(LOWER(AW12)=LOWER(Urlaub!$W$22),Urlaub!$S$22,
IF(LOWER(AW12)=LOWER(Urlaub!$W$23),Urlaub!$S$23,
IF(LOWER(AW12)=LOWER(Urlaub!$W$24),Urlaub!$S$24,""))))))&amp;IF(AND(EXACT(LOWER(AW12),AW12),AW12&lt;&gt;0)," 1/2",""))</f>
        <v/>
      </c>
      <c r="N12" s="53">
        <f t="shared" si="2"/>
        <v>0</v>
      </c>
      <c r="P12" s="80">
        <v>41645</v>
      </c>
      <c r="Q12" s="68">
        <v>0</v>
      </c>
      <c r="R12" s="110">
        <v>2.0833333333333301E-2</v>
      </c>
      <c r="S12" s="69"/>
      <c r="AU12" t="str">
        <f>IF(AV12=1,VLOOKUP($B12,Feiertage!$B$2:$D$49,3,FALSE),"")</f>
        <v/>
      </c>
      <c r="AV12">
        <f>IF(IFERROR(MATCH($B12,Feiertage!$B$2:$B$49,0)&gt;0,0),1,0)</f>
        <v>0</v>
      </c>
      <c r="AW12" s="22">
        <f>IFERROR(HLOOKUP(DAY(B12),Urlaub!$C$4:$AG$16,MONTH(B12)+1,FALSE),0)</f>
        <v>0</v>
      </c>
      <c r="AX12" s="38">
        <f t="shared" si="3"/>
        <v>0</v>
      </c>
      <c r="AY12" s="7">
        <f t="shared" si="4"/>
        <v>2.0833333333333301E-2</v>
      </c>
      <c r="AZ12" s="5">
        <f>IF(F12,IF(E12,IF(E12&gt;F12,F12+"24:00"-E12,F12-E12),0),0)+IF(G12,IF(G12,IF(G12&gt;H12,H12+"24:00"-G12,H12-G12),0),0)</f>
        <v>0</v>
      </c>
      <c r="BA12" s="39">
        <f t="shared" si="7"/>
        <v>0</v>
      </c>
      <c r="BB12" s="5">
        <f t="shared" si="6"/>
        <v>0</v>
      </c>
    </row>
    <row r="13" spans="1:54" ht="19.5" thickBot="1" x14ac:dyDescent="0.35">
      <c r="B13" s="43">
        <f t="shared" si="8"/>
        <v>41981</v>
      </c>
      <c r="C13" s="44">
        <f t="shared" si="9"/>
        <v>41981</v>
      </c>
      <c r="D13" s="3"/>
      <c r="E13" s="62"/>
      <c r="F13" s="62"/>
      <c r="G13" s="62"/>
      <c r="H13" s="62"/>
      <c r="I13" s="62" t="str">
        <f t="shared" ca="1" si="0"/>
        <v/>
      </c>
      <c r="J13" s="52">
        <f>IF(AND(Feiertage!$G$2&lt;&gt;"ja",AV13=1),IF(AZ13&gt;0,BB13+AZ13,BB13),IF(AZ13=0,0, IF(I13&lt;&gt;"",AZ13-I13,AZ13)))+AX13</f>
        <v>0</v>
      </c>
      <c r="K13" s="62">
        <f>IF(AV13=0,BB13,IF(Feiertage!$G$2="ja","00:00",BB13))</f>
        <v>0</v>
      </c>
      <c r="L13" s="52" t="str">
        <f t="shared" ca="1" si="1"/>
        <v/>
      </c>
      <c r="M13" s="50" t="str">
        <f>IF(AV13=1,AU13,IF(LOWER(AW13)=LOWER(Urlaub!$W$19),Urlaub!$S$19,
IF(LOWER(AW13)=LOWER(Urlaub!$W$20),Urlaub!$S$20,
IF(LOWER(AW13)=LOWER(Urlaub!$W$21),Urlaub!$S$21,
IF(LOWER(AW13)=LOWER(Urlaub!$W$22),Urlaub!$S$22,
IF(LOWER(AW13)=LOWER(Urlaub!$W$23),Urlaub!$S$23,
IF(LOWER(AW13)=LOWER(Urlaub!$W$24),Urlaub!$S$24,""))))))&amp;IF(AND(EXACT(LOWER(AW13),AW13),AW13&lt;&gt;0)," 1/2",""))</f>
        <v/>
      </c>
      <c r="N13" s="53">
        <f t="shared" si="2"/>
        <v>0</v>
      </c>
      <c r="P13" s="56" t="s">
        <v>9</v>
      </c>
      <c r="Q13" s="57">
        <f>SUM(Q6:Q12)</f>
        <v>1.6666666666666665</v>
      </c>
      <c r="R13" s="4"/>
      <c r="Y13" s="7"/>
      <c r="AU13" t="str">
        <f>IF(AV13=1,VLOOKUP($B13,Feiertage!$B$2:$D$49,3,FALSE),"")</f>
        <v/>
      </c>
      <c r="AV13">
        <f>IF(IFERROR(MATCH($B13,Feiertage!$B$2:$B$49,0)&gt;0,0),1,0)</f>
        <v>0</v>
      </c>
      <c r="AW13" s="22">
        <f>IFERROR(HLOOKUP(DAY(B13),Urlaub!$C$4:$AG$16,MONTH(B13)+1,FALSE),0)</f>
        <v>0</v>
      </c>
      <c r="AX13" s="38">
        <f t="shared" si="3"/>
        <v>0</v>
      </c>
      <c r="AY13" s="7">
        <f t="shared" si="4"/>
        <v>2.0833333333333301E-2</v>
      </c>
      <c r="AZ13" s="5">
        <f t="shared" si="5"/>
        <v>0</v>
      </c>
      <c r="BA13" s="39">
        <f t="shared" si="7"/>
        <v>0</v>
      </c>
      <c r="BB13" s="5">
        <f t="shared" si="6"/>
        <v>0</v>
      </c>
    </row>
    <row r="14" spans="1:54" ht="18.75" x14ac:dyDescent="0.3">
      <c r="B14" s="43">
        <f t="shared" si="8"/>
        <v>41982</v>
      </c>
      <c r="C14" s="44">
        <f t="shared" si="9"/>
        <v>41982</v>
      </c>
      <c r="D14" s="3"/>
      <c r="E14" s="62"/>
      <c r="F14" s="62"/>
      <c r="G14" s="62"/>
      <c r="H14" s="62"/>
      <c r="I14" s="62" t="str">
        <f t="shared" ca="1" si="0"/>
        <v/>
      </c>
      <c r="J14" s="52">
        <f>IF(AND(Feiertage!$G$2&lt;&gt;"ja",AV14=1),IF(AZ14&gt;0,BB14+AZ14,BB14),IF(AZ14=0,0, IF(I14&lt;&gt;"",AZ14-I14,AZ14)))+AX14</f>
        <v>0</v>
      </c>
      <c r="K14" s="62">
        <f>IF(AV14=0,BB14,IF(Feiertage!$G$2="ja","00:00",BB14))</f>
        <v>0.33333333333333331</v>
      </c>
      <c r="L14" s="52" t="str">
        <f t="shared" ca="1" si="1"/>
        <v/>
      </c>
      <c r="M14" s="50" t="str">
        <f>IF(AV14=1,AU14,IF(LOWER(AW14)=LOWER(Urlaub!$W$19),Urlaub!$S$19,
IF(LOWER(AW14)=LOWER(Urlaub!$W$20),Urlaub!$S$20,
IF(LOWER(AW14)=LOWER(Urlaub!$W$21),Urlaub!$S$21,
IF(LOWER(AW14)=LOWER(Urlaub!$W$22),Urlaub!$S$22,
IF(LOWER(AW14)=LOWER(Urlaub!$W$23),Urlaub!$S$23,
IF(LOWER(AW14)=LOWER(Urlaub!$W$24),Urlaub!$S$24,""))))))&amp;IF(AND(EXACT(LOWER(AW14),AW14),AW14&lt;&gt;0)," 1/2",""))</f>
        <v/>
      </c>
      <c r="N14" s="53">
        <f t="shared" si="2"/>
        <v>0</v>
      </c>
      <c r="O14" s="6"/>
      <c r="AU14" t="str">
        <f>IF(AV14=1,VLOOKUP($B14,Feiertage!$B$2:$D$49,3,FALSE),"")</f>
        <v/>
      </c>
      <c r="AV14">
        <f>IF(IFERROR(MATCH($B14,Feiertage!$B$2:$B$49,0)&gt;0,0),1,0)</f>
        <v>0</v>
      </c>
      <c r="AW14" s="22">
        <f>IFERROR(HLOOKUP(DAY(B14),Urlaub!$C$4:$AG$16,MONTH(B14)+1,FALSE),0)</f>
        <v>0</v>
      </c>
      <c r="AX14" s="38">
        <f t="shared" si="3"/>
        <v>0</v>
      </c>
      <c r="AY14" s="7">
        <f t="shared" si="4"/>
        <v>2.0833333333333332E-2</v>
      </c>
      <c r="AZ14" s="5">
        <f t="shared" si="5"/>
        <v>0</v>
      </c>
      <c r="BA14" s="39">
        <f t="shared" si="7"/>
        <v>0</v>
      </c>
      <c r="BB14" s="5">
        <f t="shared" si="6"/>
        <v>0.33333333333333331</v>
      </c>
    </row>
    <row r="15" spans="1:54" ht="19.5" thickBot="1" x14ac:dyDescent="0.35">
      <c r="B15" s="43">
        <f t="shared" si="8"/>
        <v>41983</v>
      </c>
      <c r="C15" s="44">
        <f t="shared" si="9"/>
        <v>41983</v>
      </c>
      <c r="D15" s="3"/>
      <c r="E15" s="62"/>
      <c r="F15" s="62"/>
      <c r="G15" s="62"/>
      <c r="H15" s="62"/>
      <c r="I15" s="62" t="str">
        <f t="shared" ca="1" si="0"/>
        <v/>
      </c>
      <c r="J15" s="52">
        <f>IF(AND(Feiertage!$G$2&lt;&gt;"ja",AV15=1),IF(AZ15&gt;0,BB15+AZ15,BB15),IF(AZ15=0,0, IF(I15&lt;&gt;"",AZ15-I15,AZ15)))+AX15</f>
        <v>0</v>
      </c>
      <c r="K15" s="62">
        <f>IF(AV15=0,BB15,IF(Feiertage!$G$2="ja","00:00",BB15))</f>
        <v>0.33333333333333331</v>
      </c>
      <c r="L15" s="52" t="str">
        <f t="shared" ca="1" si="1"/>
        <v/>
      </c>
      <c r="M15" s="50" t="str">
        <f>IF(AV15=1,AU15,IF(LOWER(AW15)=LOWER(Urlaub!$W$19),Urlaub!$S$19,
IF(LOWER(AW15)=LOWER(Urlaub!$W$20),Urlaub!$S$20,
IF(LOWER(AW15)=LOWER(Urlaub!$W$21),Urlaub!$S$21,
IF(LOWER(AW15)=LOWER(Urlaub!$W$22),Urlaub!$S$22,
IF(LOWER(AW15)=LOWER(Urlaub!$W$23),Urlaub!$S$23,
IF(LOWER(AW15)=LOWER(Urlaub!$W$24),Urlaub!$S$24,""))))))&amp;IF(AND(EXACT(LOWER(AW15),AW15),AW15&lt;&gt;0)," 1/2",""))</f>
        <v/>
      </c>
      <c r="N15" s="53">
        <f t="shared" si="2"/>
        <v>0</v>
      </c>
      <c r="P15" s="153" t="s">
        <v>86</v>
      </c>
      <c r="Q15" s="154"/>
      <c r="R15" s="154"/>
      <c r="S15" s="154"/>
      <c r="T15" s="154"/>
      <c r="U15" s="154"/>
      <c r="V15" s="154"/>
      <c r="AU15" t="str">
        <f>IF(AV15=1,VLOOKUP($B15,Feiertage!$B$2:$D$49,3,FALSE),"")</f>
        <v/>
      </c>
      <c r="AV15">
        <f>IF(IFERROR(MATCH($B15,Feiertage!$B$2:$B$49,0)&gt;0,0),1,0)</f>
        <v>0</v>
      </c>
      <c r="AW15" s="22">
        <f>IFERROR(HLOOKUP(DAY(B15),Urlaub!$C$4:$AG$16,MONTH(B15)+1,FALSE),0)</f>
        <v>0</v>
      </c>
      <c r="AX15" s="38">
        <f t="shared" si="3"/>
        <v>0</v>
      </c>
      <c r="AY15" s="7">
        <f t="shared" si="4"/>
        <v>2.0833333333333332E-2</v>
      </c>
      <c r="AZ15" s="5">
        <f t="shared" si="5"/>
        <v>0</v>
      </c>
      <c r="BA15" s="39">
        <f t="shared" si="7"/>
        <v>0</v>
      </c>
      <c r="BB15" s="5">
        <f t="shared" si="6"/>
        <v>0.33333333333333331</v>
      </c>
    </row>
    <row r="16" spans="1:54" ht="18.75" x14ac:dyDescent="0.3">
      <c r="B16" s="43">
        <f t="shared" si="8"/>
        <v>41984</v>
      </c>
      <c r="C16" s="44">
        <f t="shared" si="9"/>
        <v>41984</v>
      </c>
      <c r="D16" s="3"/>
      <c r="E16" s="62"/>
      <c r="F16" s="62"/>
      <c r="G16" s="62"/>
      <c r="H16" s="62"/>
      <c r="I16" s="62" t="str">
        <f t="shared" ca="1" si="0"/>
        <v/>
      </c>
      <c r="J16" s="52">
        <f>IF(AND(Feiertage!$G$2&lt;&gt;"ja",AV16=1),IF(AZ16&gt;0,BB16+AZ16,BB16),IF(AZ16=0,0, IF(I16&lt;&gt;"",AZ16-I16,AZ16)))+AX16</f>
        <v>0</v>
      </c>
      <c r="K16" s="62">
        <f>IF(AV16=0,BB16,IF(Feiertage!$G$2="ja","00:00",BB16))</f>
        <v>0.33333333333333331</v>
      </c>
      <c r="L16" s="52" t="str">
        <f t="shared" ca="1" si="1"/>
        <v/>
      </c>
      <c r="M16" s="50" t="str">
        <f>IF(AV16=1,AU16,IF(LOWER(AW16)=LOWER(Urlaub!$W$19),Urlaub!$S$19,
IF(LOWER(AW16)=LOWER(Urlaub!$W$20),Urlaub!$S$20,
IF(LOWER(AW16)=LOWER(Urlaub!$W$21),Urlaub!$S$21,
IF(LOWER(AW16)=LOWER(Urlaub!$W$22),Urlaub!$S$22,
IF(LOWER(AW16)=LOWER(Urlaub!$W$23),Urlaub!$S$23,
IF(LOWER(AW16)=LOWER(Urlaub!$W$24),Urlaub!$S$24,""))))))&amp;IF(AND(EXACT(LOWER(AW16),AW16),AW16&lt;&gt;0)," 1/2",""))</f>
        <v/>
      </c>
      <c r="N16" s="53">
        <f t="shared" si="2"/>
        <v>0</v>
      </c>
      <c r="P16" s="155"/>
      <c r="Q16" s="156"/>
      <c r="R16" s="156"/>
      <c r="S16" s="156"/>
      <c r="T16" s="156"/>
      <c r="U16" s="156"/>
      <c r="V16" s="157"/>
      <c r="AU16" t="str">
        <f>IF(AV16=1,VLOOKUP($B16,Feiertage!$B$2:$D$49,3,FALSE),"")</f>
        <v/>
      </c>
      <c r="AV16">
        <f>IF(IFERROR(MATCH($B16,Feiertage!$B$2:$B$49,0)&gt;0,0),1,0)</f>
        <v>0</v>
      </c>
      <c r="AW16" s="22">
        <f>IFERROR(HLOOKUP(DAY(B16),Urlaub!$C$4:$AG$16,MONTH(B16)+1,FALSE),0)</f>
        <v>0</v>
      </c>
      <c r="AX16" s="38">
        <f t="shared" si="3"/>
        <v>0</v>
      </c>
      <c r="AY16" s="7">
        <f t="shared" si="4"/>
        <v>2.0833333333333301E-2</v>
      </c>
      <c r="AZ16" s="5">
        <f t="shared" si="5"/>
        <v>0</v>
      </c>
      <c r="BA16" s="39">
        <f t="shared" si="7"/>
        <v>0</v>
      </c>
      <c r="BB16" s="5">
        <f t="shared" si="6"/>
        <v>0.33333333333333331</v>
      </c>
    </row>
    <row r="17" spans="2:54" ht="18.75" x14ac:dyDescent="0.3">
      <c r="B17" s="43">
        <f t="shared" si="8"/>
        <v>41985</v>
      </c>
      <c r="C17" s="44">
        <f t="shared" si="9"/>
        <v>41985</v>
      </c>
      <c r="D17" s="3"/>
      <c r="E17" s="62"/>
      <c r="F17" s="62"/>
      <c r="G17" s="62"/>
      <c r="H17" s="62"/>
      <c r="I17" s="62" t="str">
        <f t="shared" ca="1" si="0"/>
        <v/>
      </c>
      <c r="J17" s="52">
        <f>IF(AND(Feiertage!$G$2&lt;&gt;"ja",AV17=1),IF(AZ17&gt;0,BB17+AZ17,BB17),IF(AZ17=0,0, IF(I17&lt;&gt;"",AZ17-I17,AZ17)))+AX17</f>
        <v>0</v>
      </c>
      <c r="K17" s="62">
        <f>IF(AV17=0,BB17,IF(Feiertage!$G$2="ja","00:00",BB17))</f>
        <v>0.33333333333333331</v>
      </c>
      <c r="L17" s="52" t="str">
        <f t="shared" ca="1" si="1"/>
        <v/>
      </c>
      <c r="M17" s="50" t="str">
        <f>IF(AV17=1,AU17,IF(LOWER(AW17)=LOWER(Urlaub!$W$19),Urlaub!$S$19,
IF(LOWER(AW17)=LOWER(Urlaub!$W$20),Urlaub!$S$20,
IF(LOWER(AW17)=LOWER(Urlaub!$W$21),Urlaub!$S$21,
IF(LOWER(AW17)=LOWER(Urlaub!$W$22),Urlaub!$S$22,
IF(LOWER(AW17)=LOWER(Urlaub!$W$23),Urlaub!$S$23,
IF(LOWER(AW17)=LOWER(Urlaub!$W$24),Urlaub!$S$24,""))))))&amp;IF(AND(EXACT(LOWER(AW17),AW17),AW17&lt;&gt;0)," 1/2",""))</f>
        <v/>
      </c>
      <c r="N17" s="53">
        <f t="shared" si="2"/>
        <v>0</v>
      </c>
      <c r="P17" s="158"/>
      <c r="Q17" s="159"/>
      <c r="R17" s="159"/>
      <c r="S17" s="159"/>
      <c r="T17" s="159"/>
      <c r="U17" s="159"/>
      <c r="V17" s="160"/>
      <c r="AU17" t="str">
        <f>IF(AV17=1,VLOOKUP($B17,Feiertage!$B$2:$D$49,3,FALSE),"")</f>
        <v/>
      </c>
      <c r="AV17">
        <f>IF(IFERROR(MATCH($B17,Feiertage!$B$2:$B$49,0)&gt;0,0),1,0)</f>
        <v>0</v>
      </c>
      <c r="AW17" s="22">
        <f>IFERROR(HLOOKUP(DAY(B17),Urlaub!$C$4:$AG$16,MONTH(B17)+1,FALSE),0)</f>
        <v>0</v>
      </c>
      <c r="AX17" s="38">
        <f t="shared" ref="AX17:AX35" si="10">IFERROR(IF(OR(AW17=0,AW17="G"),0,IF(EXACT(LOWER(AW17),AW17),0.5*BB17,BB17)),"")</f>
        <v>0</v>
      </c>
      <c r="AY17" s="7">
        <f t="shared" si="4"/>
        <v>2.0833333333333301E-2</v>
      </c>
      <c r="AZ17" s="5">
        <f t="shared" si="5"/>
        <v>0</v>
      </c>
      <c r="BA17" s="39">
        <f t="shared" si="7"/>
        <v>0</v>
      </c>
      <c r="BB17" s="5">
        <f t="shared" si="6"/>
        <v>0.33333333333333331</v>
      </c>
    </row>
    <row r="18" spans="2:54" ht="19.5" thickBot="1" x14ac:dyDescent="0.35">
      <c r="B18" s="43">
        <f t="shared" si="8"/>
        <v>41986</v>
      </c>
      <c r="C18" s="44">
        <f t="shared" si="9"/>
        <v>41986</v>
      </c>
      <c r="D18" s="3"/>
      <c r="E18" s="62"/>
      <c r="F18" s="62"/>
      <c r="G18" s="62"/>
      <c r="H18" s="62"/>
      <c r="I18" s="62" t="str">
        <f t="shared" ca="1" si="0"/>
        <v/>
      </c>
      <c r="J18" s="52">
        <f>IF(AND(Feiertage!$G$2&lt;&gt;"ja",AV18=1),IF(AZ18&gt;0,BB18+AZ18,BB18),IF(AZ18=0,0, IF(I18&lt;&gt;"",AZ18-I18,AZ18)))+AX18</f>
        <v>0</v>
      </c>
      <c r="K18" s="62">
        <f>IF(AV18=0,BB18,IF(Feiertage!$G$2="ja","00:00",BB18))</f>
        <v>0.33333333333333331</v>
      </c>
      <c r="L18" s="52" t="str">
        <f t="shared" ca="1" si="1"/>
        <v/>
      </c>
      <c r="M18" s="50" t="str">
        <f>IF(AV18=1,AU18,IF(LOWER(AW18)=LOWER(Urlaub!$W$19),Urlaub!$S$19,
IF(LOWER(AW18)=LOWER(Urlaub!$W$20),Urlaub!$S$20,
IF(LOWER(AW18)=LOWER(Urlaub!$W$21),Urlaub!$S$21,
IF(LOWER(AW18)=LOWER(Urlaub!$W$22),Urlaub!$S$22,
IF(LOWER(AW18)=LOWER(Urlaub!$W$23),Urlaub!$S$23,
IF(LOWER(AW18)=LOWER(Urlaub!$W$24),Urlaub!$S$24,""))))))&amp;IF(AND(EXACT(LOWER(AW18),AW18),AW18&lt;&gt;0)," 1/2",""))</f>
        <v/>
      </c>
      <c r="N18" s="53">
        <f t="shared" si="2"/>
        <v>0</v>
      </c>
      <c r="P18" s="161"/>
      <c r="Q18" s="162"/>
      <c r="R18" s="162"/>
      <c r="S18" s="162"/>
      <c r="T18" s="162"/>
      <c r="U18" s="162"/>
      <c r="V18" s="163"/>
      <c r="AU18" t="str">
        <f>IF(AV18=1,VLOOKUP($B18,Feiertage!$B$2:$D$49,3,FALSE),"")</f>
        <v/>
      </c>
      <c r="AV18">
        <f>IF(IFERROR(MATCH($B18,Feiertage!$B$2:$B$49,0)&gt;0,0),1,0)</f>
        <v>0</v>
      </c>
      <c r="AW18" s="22">
        <f>IFERROR(HLOOKUP(DAY(B18),Urlaub!$C$4:$AG$16,MONTH(B18)+1,FALSE),0)</f>
        <v>0</v>
      </c>
      <c r="AX18" s="38">
        <f t="shared" si="10"/>
        <v>0</v>
      </c>
      <c r="AY18" s="7">
        <f t="shared" si="4"/>
        <v>2.0833333333333301E-2</v>
      </c>
      <c r="AZ18" s="5">
        <f t="shared" si="5"/>
        <v>0</v>
      </c>
      <c r="BA18" s="39">
        <f t="shared" si="7"/>
        <v>0</v>
      </c>
      <c r="BB18" s="5">
        <f t="shared" si="6"/>
        <v>0.33333333333333331</v>
      </c>
    </row>
    <row r="19" spans="2:54" ht="18.75" x14ac:dyDescent="0.3">
      <c r="B19" s="43">
        <f t="shared" si="8"/>
        <v>41987</v>
      </c>
      <c r="C19" s="44">
        <f t="shared" si="9"/>
        <v>41987</v>
      </c>
      <c r="D19" s="3"/>
      <c r="E19" s="62"/>
      <c r="F19" s="62"/>
      <c r="G19" s="62"/>
      <c r="H19" s="62"/>
      <c r="I19" s="62" t="str">
        <f t="shared" ca="1" si="0"/>
        <v/>
      </c>
      <c r="J19" s="52">
        <f>IF(AND(Feiertage!$G$2&lt;&gt;"ja",AV19=1),IF(AZ19&gt;0,BB19+AZ19,BB19),IF(AZ19=0,0, IF(I19&lt;&gt;"",AZ19-I19,AZ19)))+AX19</f>
        <v>0</v>
      </c>
      <c r="K19" s="62">
        <f>IF(AV19=0,BB19,IF(Feiertage!$G$2="ja","00:00",BB19))</f>
        <v>0</v>
      </c>
      <c r="L19" s="52" t="str">
        <f ca="1">IF(OR(B19&lt;=TODAY(),J19,AW19="G"),IF(J19&lt;&gt;"",IF(J19-K19=0,"",J19-K19),IF(K19&lt;&gt;"",-K19,"")),"")</f>
        <v/>
      </c>
      <c r="M19" s="50" t="str">
        <f>IF(AV19=1,AU19,IF(LOWER(AW19)=LOWER(Urlaub!$W$19),Urlaub!$S$19,
IF(LOWER(AW19)=LOWER(Urlaub!$W$20),Urlaub!$S$20,
IF(LOWER(AW19)=LOWER(Urlaub!$W$21),Urlaub!$S$21,
IF(LOWER(AW19)=LOWER(Urlaub!$W$22),Urlaub!$S$22,
IF(LOWER(AW19)=LOWER(Urlaub!$W$23),Urlaub!$S$23,
IF(LOWER(AW19)=LOWER(Urlaub!$W$24),Urlaub!$S$24,""))))))&amp;IF(AND(EXACT(LOWER(AW19),AW19),AW19&lt;&gt;0)," 1/2",""))</f>
        <v/>
      </c>
      <c r="N19" s="53">
        <f t="shared" si="2"/>
        <v>0</v>
      </c>
      <c r="AU19" t="str">
        <f>IF(AV19=1,VLOOKUP($B19,Feiertage!$B$2:$D$49,3,FALSE),"")</f>
        <v/>
      </c>
      <c r="AV19">
        <f>IF(IFERROR(MATCH($B19,Feiertage!$B$2:$B$49,0)&gt;0,0),1,0)</f>
        <v>0</v>
      </c>
      <c r="AW19" s="22">
        <f>IFERROR(HLOOKUP(DAY(B19),Urlaub!$C$4:$AG$16,MONTH(B19)+1,FALSE),0)</f>
        <v>0</v>
      </c>
      <c r="AX19" s="38">
        <f>IFERROR(IF(OR(AW19=0,AW19="G"),0,IF(EXACT(LOWER(AW19),AW19),0.5*BB19,BB19)),"")</f>
        <v>0</v>
      </c>
      <c r="AY19" s="7">
        <f t="shared" si="4"/>
        <v>2.0833333333333301E-2</v>
      </c>
      <c r="AZ19" s="5">
        <f t="shared" si="5"/>
        <v>0</v>
      </c>
      <c r="BA19" s="39">
        <f t="shared" si="7"/>
        <v>0</v>
      </c>
      <c r="BB19" s="5">
        <f t="shared" si="6"/>
        <v>0</v>
      </c>
    </row>
    <row r="20" spans="2:54" ht="18.75" x14ac:dyDescent="0.3">
      <c r="B20" s="43">
        <f t="shared" si="8"/>
        <v>41988</v>
      </c>
      <c r="C20" s="44">
        <f t="shared" si="9"/>
        <v>41988</v>
      </c>
      <c r="D20" s="3"/>
      <c r="E20" s="62"/>
      <c r="F20" s="62"/>
      <c r="G20" s="62"/>
      <c r="H20" s="62"/>
      <c r="I20" s="62" t="str">
        <f t="shared" ca="1" si="0"/>
        <v/>
      </c>
      <c r="J20" s="52">
        <f>IF(AND(Feiertage!$G$2&lt;&gt;"ja",AV20=1),IF(AZ20&gt;0,BB20+AZ20,BB20),IF(AZ20=0,0, IF(I20&lt;&gt;"",AZ20-I20,AZ20)))+AX20</f>
        <v>0</v>
      </c>
      <c r="K20" s="62">
        <f>IF(AV20=0,BB20,IF(Feiertage!$G$2="ja","00:00",BB20))</f>
        <v>0</v>
      </c>
      <c r="L20" s="52" t="str">
        <f t="shared" ref="L20:L35" ca="1" si="11">IF(OR(B20&lt;=TODAY(),J20,AW20="G"),IF(J20&lt;&gt;"",IF(J20-K20=0,"",J20-K20),IF(K20&lt;&gt;"",-K20,"")),"")</f>
        <v/>
      </c>
      <c r="M20" s="50" t="str">
        <f>IF(AV20=1,AU20,IF(LOWER(AW20)=LOWER(Urlaub!$W$19),Urlaub!$S$19,
IF(LOWER(AW20)=LOWER(Urlaub!$W$20),Urlaub!$S$20,
IF(LOWER(AW20)=LOWER(Urlaub!$W$21),Urlaub!$S$21,
IF(LOWER(AW20)=LOWER(Urlaub!$W$22),Urlaub!$S$22,
IF(LOWER(AW20)=LOWER(Urlaub!$W$23),Urlaub!$S$23,
IF(LOWER(AW20)=LOWER(Urlaub!$W$24),Urlaub!$S$24,""))))))&amp;IF(AND(EXACT(LOWER(AW20),AW20),AW20&lt;&gt;0)," 1/2",""))</f>
        <v/>
      </c>
      <c r="N20" s="53">
        <f t="shared" si="2"/>
        <v>0</v>
      </c>
      <c r="AU20" t="str">
        <f>IF(AV20=1,VLOOKUP($B20,Feiertage!$B$2:$D$49,3,FALSE),"")</f>
        <v/>
      </c>
      <c r="AV20">
        <f>IF(IFERROR(MATCH($B20,Feiertage!$B$2:$B$49,0)&gt;0,0),1,0)</f>
        <v>0</v>
      </c>
      <c r="AW20" s="22">
        <f>IFERROR(HLOOKUP(DAY(B20),Urlaub!$C$4:$AG$16,MONTH(B20)+1,FALSE),0)</f>
        <v>0</v>
      </c>
      <c r="AX20" s="38">
        <f t="shared" si="10"/>
        <v>0</v>
      </c>
      <c r="AY20" s="7">
        <f t="shared" si="4"/>
        <v>2.0833333333333301E-2</v>
      </c>
      <c r="AZ20" s="5">
        <f t="shared" si="5"/>
        <v>0</v>
      </c>
      <c r="BA20" s="39">
        <f t="shared" si="7"/>
        <v>0</v>
      </c>
      <c r="BB20" s="5">
        <f t="shared" si="6"/>
        <v>0</v>
      </c>
    </row>
    <row r="21" spans="2:54" ht="18.75" x14ac:dyDescent="0.3">
      <c r="B21" s="43">
        <f t="shared" si="8"/>
        <v>41989</v>
      </c>
      <c r="C21" s="44">
        <f t="shared" si="9"/>
        <v>41989</v>
      </c>
      <c r="D21" s="3"/>
      <c r="E21" s="62"/>
      <c r="F21" s="62"/>
      <c r="G21" s="62"/>
      <c r="H21" s="62"/>
      <c r="I21" s="62" t="str">
        <f t="shared" ca="1" si="0"/>
        <v/>
      </c>
      <c r="J21" s="52">
        <f>IF(AND(Feiertage!$G$2&lt;&gt;"ja",AV21=1),IF(AZ21&gt;0,BB21+AZ21,BB21),IF(AZ21=0,0, IF(I21&lt;&gt;"",AZ21-I21,AZ21)))+AX21</f>
        <v>0</v>
      </c>
      <c r="K21" s="62">
        <f>IF(AV21=0,BB21,IF(Feiertage!$G$2="ja","00:00",BB21))</f>
        <v>0.33333333333333331</v>
      </c>
      <c r="L21" s="52" t="str">
        <f t="shared" ca="1" si="11"/>
        <v/>
      </c>
      <c r="M21" s="50" t="str">
        <f>IF(AV21=1,AU21,IF(LOWER(AW21)=LOWER(Urlaub!$W$19),Urlaub!$S$19,
IF(LOWER(AW21)=LOWER(Urlaub!$W$20),Urlaub!$S$20,
IF(LOWER(AW21)=LOWER(Urlaub!$W$21),Urlaub!$S$21,
IF(LOWER(AW21)=LOWER(Urlaub!$W$22),Urlaub!$S$22,
IF(LOWER(AW21)=LOWER(Urlaub!$W$23),Urlaub!$S$23,
IF(LOWER(AW21)=LOWER(Urlaub!$W$24),Urlaub!$S$24,""))))))&amp;IF(AND(EXACT(LOWER(AW21),AW21),AW21&lt;&gt;0)," 1/2",""))</f>
        <v/>
      </c>
      <c r="N21" s="53">
        <f t="shared" si="2"/>
        <v>0</v>
      </c>
      <c r="AU21" t="str">
        <f>IF(AV21=1,VLOOKUP($B21,Feiertage!$B$2:$D$49,3,FALSE),"")</f>
        <v/>
      </c>
      <c r="AV21">
        <f>IF(IFERROR(MATCH($B21,Feiertage!$B$2:$B$49,0)&gt;0,0),1,0)</f>
        <v>0</v>
      </c>
      <c r="AW21" s="22">
        <f>IFERROR(HLOOKUP(DAY(B21),Urlaub!$C$4:$AG$16,MONTH(B21)+1,FALSE),0)</f>
        <v>0</v>
      </c>
      <c r="AX21" s="38">
        <f t="shared" si="10"/>
        <v>0</v>
      </c>
      <c r="AY21" s="7">
        <f t="shared" si="4"/>
        <v>2.0833333333333332E-2</v>
      </c>
      <c r="AZ21" s="5">
        <f t="shared" si="5"/>
        <v>0</v>
      </c>
      <c r="BA21" s="39">
        <f t="shared" si="7"/>
        <v>0</v>
      </c>
      <c r="BB21" s="5">
        <f t="shared" si="6"/>
        <v>0.33333333333333331</v>
      </c>
    </row>
    <row r="22" spans="2:54" ht="18.75" x14ac:dyDescent="0.3">
      <c r="B22" s="43">
        <f t="shared" si="8"/>
        <v>41990</v>
      </c>
      <c r="C22" s="44">
        <f t="shared" si="9"/>
        <v>41990</v>
      </c>
      <c r="D22" s="3"/>
      <c r="E22" s="62"/>
      <c r="F22" s="62"/>
      <c r="G22" s="62"/>
      <c r="H22" s="62"/>
      <c r="I22" s="62" t="str">
        <f t="shared" ca="1" si="0"/>
        <v/>
      </c>
      <c r="J22" s="52">
        <f>IF(AND(Feiertage!$G$2&lt;&gt;"ja",AV22=1),IF(AZ22&gt;0,BB22+AZ22,BB22),IF(AZ22=0,0, IF(I22&lt;&gt;"",AZ22-I22,AZ22)))+AX22</f>
        <v>0</v>
      </c>
      <c r="K22" s="62">
        <f>IF(AV22=0,BB22,IF(Feiertage!$G$2="ja","00:00",BB22))</f>
        <v>0.33333333333333331</v>
      </c>
      <c r="L22" s="52" t="str">
        <f t="shared" ca="1" si="11"/>
        <v/>
      </c>
      <c r="M22" s="50" t="str">
        <f>IF(AV22=1,AU22,IF(LOWER(AW22)=LOWER(Urlaub!$W$19),Urlaub!$S$19,
IF(LOWER(AW22)=LOWER(Urlaub!$W$20),Urlaub!$S$20,
IF(LOWER(AW22)=LOWER(Urlaub!$W$21),Urlaub!$S$21,
IF(LOWER(AW22)=LOWER(Urlaub!$W$22),Urlaub!$S$22,
IF(LOWER(AW22)=LOWER(Urlaub!$W$23),Urlaub!$S$23,
IF(LOWER(AW22)=LOWER(Urlaub!$W$24),Urlaub!$S$24,""))))))&amp;IF(AND(EXACT(LOWER(AW22),AW22),AW22&lt;&gt;0)," 1/2",""))</f>
        <v/>
      </c>
      <c r="N22" s="53">
        <f t="shared" si="2"/>
        <v>0</v>
      </c>
      <c r="AU22" t="str">
        <f>IF(AV22=1,VLOOKUP($B22,Feiertage!$B$2:$D$49,3,FALSE),"")</f>
        <v/>
      </c>
      <c r="AV22">
        <f>IF(IFERROR(MATCH($B22,Feiertage!$B$2:$B$49,0)&gt;0,0),1,0)</f>
        <v>0</v>
      </c>
      <c r="AW22" s="22">
        <f>IFERROR(HLOOKUP(DAY(B22),Urlaub!$C$4:$AG$16,MONTH(B22)+1,FALSE),0)</f>
        <v>0</v>
      </c>
      <c r="AX22" s="38">
        <f t="shared" si="10"/>
        <v>0</v>
      </c>
      <c r="AY22" s="7">
        <f t="shared" si="4"/>
        <v>2.0833333333333332E-2</v>
      </c>
      <c r="AZ22" s="5">
        <f t="shared" si="5"/>
        <v>0</v>
      </c>
      <c r="BA22" s="39">
        <f t="shared" si="7"/>
        <v>0</v>
      </c>
      <c r="BB22" s="5">
        <f t="shared" si="6"/>
        <v>0.33333333333333331</v>
      </c>
    </row>
    <row r="23" spans="2:54" ht="18.75" x14ac:dyDescent="0.3">
      <c r="B23" s="43">
        <f t="shared" si="8"/>
        <v>41991</v>
      </c>
      <c r="C23" s="44">
        <f t="shared" si="9"/>
        <v>41991</v>
      </c>
      <c r="D23" s="3"/>
      <c r="E23" s="62"/>
      <c r="F23" s="62"/>
      <c r="G23" s="62"/>
      <c r="H23" s="62"/>
      <c r="I23" s="62" t="str">
        <f t="shared" ca="1" si="0"/>
        <v/>
      </c>
      <c r="J23" s="52">
        <f>IF(AND(Feiertage!$G$2&lt;&gt;"ja",AV23=1),IF(AZ23&gt;0,BB23+AZ23,BB23),IF(AZ23=0,0, IF(I23&lt;&gt;"",AZ23-I23,AZ23)))+AX23</f>
        <v>0</v>
      </c>
      <c r="K23" s="62">
        <f>IF(AV23=0,BB23,IF(Feiertage!$G$2="ja","00:00",BB23))</f>
        <v>0.33333333333333331</v>
      </c>
      <c r="L23" s="52" t="str">
        <f t="shared" ca="1" si="11"/>
        <v/>
      </c>
      <c r="M23" s="50" t="str">
        <f>IF(AV23=1,AU23,IF(LOWER(AW23)=LOWER(Urlaub!$W$19),Urlaub!$S$19,
IF(LOWER(AW23)=LOWER(Urlaub!$W$20),Urlaub!$S$20,
IF(LOWER(AW23)=LOWER(Urlaub!$W$21),Urlaub!$S$21,
IF(LOWER(AW23)=LOWER(Urlaub!$W$22),Urlaub!$S$22,
IF(LOWER(AW23)=LOWER(Urlaub!$W$23),Urlaub!$S$23,
IF(LOWER(AW23)=LOWER(Urlaub!$W$24),Urlaub!$S$24,""))))))&amp;IF(AND(EXACT(LOWER(AW23),AW23),AW23&lt;&gt;0)," 1/2",""))</f>
        <v/>
      </c>
      <c r="N23" s="53">
        <f t="shared" si="2"/>
        <v>0</v>
      </c>
      <c r="AU23" t="str">
        <f>IF(AV23=1,VLOOKUP($B23,Feiertage!$B$2:$D$49,3,FALSE),"")</f>
        <v/>
      </c>
      <c r="AV23">
        <f>IF(IFERROR(MATCH($B23,Feiertage!$B$2:$B$49,0)&gt;0,0),1,0)</f>
        <v>0</v>
      </c>
      <c r="AW23" s="22">
        <f>IFERROR(HLOOKUP(DAY(B23),Urlaub!$C$4:$AG$16,MONTH(B23)+1,FALSE),0)</f>
        <v>0</v>
      </c>
      <c r="AX23" s="38">
        <f>IFERROR(IF(OR(AW23=0,AW23="G"),0,IF(EXACT(LOWER(AW23),AW23),0.5*BB23,BB23)),"")</f>
        <v>0</v>
      </c>
      <c r="AY23" s="7">
        <f t="shared" si="4"/>
        <v>2.0833333333333301E-2</v>
      </c>
      <c r="AZ23" s="5">
        <f t="shared" si="5"/>
        <v>0</v>
      </c>
      <c r="BA23" s="39">
        <f t="shared" si="7"/>
        <v>0</v>
      </c>
      <c r="BB23" s="5">
        <f t="shared" si="6"/>
        <v>0.33333333333333331</v>
      </c>
    </row>
    <row r="24" spans="2:54" ht="18.75" x14ac:dyDescent="0.3">
      <c r="B24" s="43">
        <f t="shared" si="8"/>
        <v>41992</v>
      </c>
      <c r="C24" s="44">
        <f t="shared" si="9"/>
        <v>41992</v>
      </c>
      <c r="D24" s="3"/>
      <c r="E24" s="62"/>
      <c r="F24" s="62"/>
      <c r="G24" s="62"/>
      <c r="H24" s="62"/>
      <c r="I24" s="62" t="str">
        <f t="shared" ca="1" si="0"/>
        <v/>
      </c>
      <c r="J24" s="52">
        <f>IF(AND(Feiertage!$G$2&lt;&gt;"ja",AV24=1),IF(AZ24&gt;0,BB24+AZ24,BB24),IF(AZ24=0,0, IF(I24&lt;&gt;"",AZ24-I24,AZ24)))+AX24</f>
        <v>0</v>
      </c>
      <c r="K24" s="62">
        <f>IF(AV24=0,BB24,IF(Feiertage!$G$2="ja","00:00",BB24))</f>
        <v>0.33333333333333331</v>
      </c>
      <c r="L24" s="52" t="str">
        <f t="shared" ca="1" si="11"/>
        <v/>
      </c>
      <c r="M24" s="50" t="str">
        <f>IF(AV24=1,AU24,IF(LOWER(AW24)=LOWER(Urlaub!$W$19),Urlaub!$S$19,
IF(LOWER(AW24)=LOWER(Urlaub!$W$20),Urlaub!$S$20,
IF(LOWER(AW24)=LOWER(Urlaub!$W$21),Urlaub!$S$21,
IF(LOWER(AW24)=LOWER(Urlaub!$W$22),Urlaub!$S$22,
IF(LOWER(AW24)=LOWER(Urlaub!$W$23),Urlaub!$S$23,
IF(LOWER(AW24)=LOWER(Urlaub!$W$24),Urlaub!$S$24,""))))))&amp;IF(AND(EXACT(LOWER(AW24),AW24),AW24&lt;&gt;0)," 1/2",""))</f>
        <v/>
      </c>
      <c r="N24" s="53">
        <f t="shared" si="2"/>
        <v>0</v>
      </c>
      <c r="AU24" t="str">
        <f>IF(AV24=1,VLOOKUP($B24,Feiertage!$B$2:$D$49,3,FALSE),"")</f>
        <v/>
      </c>
      <c r="AV24">
        <f>IF(IFERROR(MATCH($B24,Feiertage!$B$2:$B$49,0)&gt;0,0),1,0)</f>
        <v>0</v>
      </c>
      <c r="AW24" s="22">
        <f>IFERROR(HLOOKUP(DAY(B24),Urlaub!$C$4:$AG$16,MONTH(B24)+1,FALSE),0)</f>
        <v>0</v>
      </c>
      <c r="AX24" s="38">
        <f t="shared" si="10"/>
        <v>0</v>
      </c>
      <c r="AY24" s="7">
        <f t="shared" si="4"/>
        <v>2.0833333333333301E-2</v>
      </c>
      <c r="AZ24" s="5">
        <f t="shared" si="5"/>
        <v>0</v>
      </c>
      <c r="BA24" s="39">
        <f t="shared" si="7"/>
        <v>0</v>
      </c>
      <c r="BB24" s="5">
        <f t="shared" si="6"/>
        <v>0.33333333333333331</v>
      </c>
    </row>
    <row r="25" spans="2:54" ht="18.75" x14ac:dyDescent="0.3">
      <c r="B25" s="43">
        <f t="shared" si="8"/>
        <v>41993</v>
      </c>
      <c r="C25" s="44">
        <f t="shared" si="9"/>
        <v>41993</v>
      </c>
      <c r="D25" s="3"/>
      <c r="E25" s="62"/>
      <c r="F25" s="62"/>
      <c r="G25" s="62"/>
      <c r="H25" s="62"/>
      <c r="I25" s="62" t="str">
        <f t="shared" ca="1" si="0"/>
        <v/>
      </c>
      <c r="J25" s="52">
        <f>IF(AND(Feiertage!$G$2&lt;&gt;"ja",AV25=1),IF(AZ25&gt;0,BB25+AZ25,BB25),IF(AZ25=0,0, IF(I25&lt;&gt;"",AZ25-I25,AZ25)))+AX25</f>
        <v>0</v>
      </c>
      <c r="K25" s="62">
        <f>IF(AV25=0,BB25,IF(Feiertage!$G$2="ja","00:00",BB25))</f>
        <v>0.33333333333333331</v>
      </c>
      <c r="L25" s="52" t="str">
        <f t="shared" ca="1" si="11"/>
        <v/>
      </c>
      <c r="M25" s="50" t="str">
        <f>IF(AV25=1,AU25,IF(LOWER(AW25)=LOWER(Urlaub!$W$19),Urlaub!$S$19,
IF(LOWER(AW25)=LOWER(Urlaub!$W$20),Urlaub!$S$20,
IF(LOWER(AW25)=LOWER(Urlaub!$W$21),Urlaub!$S$21,
IF(LOWER(AW25)=LOWER(Urlaub!$W$22),Urlaub!$S$22,
IF(LOWER(AW25)=LOWER(Urlaub!$W$23),Urlaub!$S$23,
IF(LOWER(AW25)=LOWER(Urlaub!$W$24),Urlaub!$S$24,""))))))&amp;IF(AND(EXACT(LOWER(AW25),AW25),AW25&lt;&gt;0)," 1/2",""))</f>
        <v/>
      </c>
      <c r="N25" s="53">
        <f t="shared" si="2"/>
        <v>0</v>
      </c>
      <c r="AU25" t="str">
        <f>IF(AV25=1,VLOOKUP($B25,Feiertage!$B$2:$D$49,3,FALSE),"")</f>
        <v/>
      </c>
      <c r="AV25">
        <f>IF(IFERROR(MATCH($B25,Feiertage!$B$2:$B$49,0)&gt;0,0),1,0)</f>
        <v>0</v>
      </c>
      <c r="AW25" s="22">
        <f>IFERROR(HLOOKUP(DAY(B25),Urlaub!$C$4:$AG$16,MONTH(B25)+1,FALSE),0)</f>
        <v>0</v>
      </c>
      <c r="AX25" s="38">
        <f t="shared" si="10"/>
        <v>0</v>
      </c>
      <c r="AY25" s="7">
        <f t="shared" si="4"/>
        <v>2.0833333333333301E-2</v>
      </c>
      <c r="AZ25" s="5">
        <f t="shared" si="5"/>
        <v>0</v>
      </c>
      <c r="BA25" s="39">
        <f t="shared" si="7"/>
        <v>0</v>
      </c>
      <c r="BB25" s="5">
        <f t="shared" si="6"/>
        <v>0.33333333333333331</v>
      </c>
    </row>
    <row r="26" spans="2:54" ht="18.75" x14ac:dyDescent="0.3">
      <c r="B26" s="43">
        <f t="shared" si="8"/>
        <v>41994</v>
      </c>
      <c r="C26" s="44">
        <f t="shared" si="9"/>
        <v>41994</v>
      </c>
      <c r="D26" s="3"/>
      <c r="E26" s="62"/>
      <c r="F26" s="62"/>
      <c r="G26" s="62"/>
      <c r="H26" s="62"/>
      <c r="I26" s="62" t="str">
        <f t="shared" ca="1" si="0"/>
        <v/>
      </c>
      <c r="J26" s="52">
        <f>IF(AND(Feiertage!$G$2&lt;&gt;"ja",AV26=1),IF(AZ26&gt;0,BB26+AZ26,BB26),IF(AZ26=0,0, IF(I26&lt;&gt;"",AZ26-I26,AZ26)))+AX26</f>
        <v>0</v>
      </c>
      <c r="K26" s="62">
        <f>IF(AV26=0,BB26,IF(Feiertage!$G$2="ja","00:00",BB26))</f>
        <v>0</v>
      </c>
      <c r="L26" s="52" t="str">
        <f t="shared" ca="1" si="11"/>
        <v/>
      </c>
      <c r="M26" s="50" t="str">
        <f>IF(AV26=1,AU26,IF(LOWER(AW26)=LOWER(Urlaub!$W$19),Urlaub!$S$19,
IF(LOWER(AW26)=LOWER(Urlaub!$W$20),Urlaub!$S$20,
IF(LOWER(AW26)=LOWER(Urlaub!$W$21),Urlaub!$S$21,
IF(LOWER(AW26)=LOWER(Urlaub!$W$22),Urlaub!$S$22,
IF(LOWER(AW26)=LOWER(Urlaub!$W$23),Urlaub!$S$23,
IF(LOWER(AW26)=LOWER(Urlaub!$W$24),Urlaub!$S$24,""))))))&amp;IF(AND(EXACT(LOWER(AW26),AW26),AW26&lt;&gt;0)," 1/2",""))</f>
        <v/>
      </c>
      <c r="N26" s="53">
        <f t="shared" si="2"/>
        <v>0</v>
      </c>
      <c r="AU26" t="str">
        <f>IF(AV26=1,VLOOKUP($B26,Feiertage!$B$2:$D$49,3,FALSE),"")</f>
        <v/>
      </c>
      <c r="AV26">
        <f>IF(IFERROR(MATCH($B26,Feiertage!$B$2:$B$49,0)&gt;0,0),1,0)</f>
        <v>0</v>
      </c>
      <c r="AW26" s="22">
        <f>IFERROR(HLOOKUP(DAY(B26),Urlaub!$C$4:$AG$16,MONTH(B26)+1,FALSE),0)</f>
        <v>0</v>
      </c>
      <c r="AX26" s="38">
        <f t="shared" si="10"/>
        <v>0</v>
      </c>
      <c r="AY26" s="7">
        <f t="shared" si="4"/>
        <v>2.0833333333333301E-2</v>
      </c>
      <c r="AZ26" s="5">
        <f t="shared" si="5"/>
        <v>0</v>
      </c>
      <c r="BA26" s="39">
        <f t="shared" si="7"/>
        <v>0</v>
      </c>
      <c r="BB26" s="5">
        <f t="shared" si="6"/>
        <v>0</v>
      </c>
    </row>
    <row r="27" spans="2:54" ht="18.75" x14ac:dyDescent="0.3">
      <c r="B27" s="43">
        <f t="shared" si="8"/>
        <v>41995</v>
      </c>
      <c r="C27" s="44">
        <f t="shared" si="9"/>
        <v>41995</v>
      </c>
      <c r="D27" s="3"/>
      <c r="E27" s="62"/>
      <c r="F27" s="62"/>
      <c r="G27" s="62"/>
      <c r="H27" s="62"/>
      <c r="I27" s="62" t="str">
        <f t="shared" ca="1" si="0"/>
        <v/>
      </c>
      <c r="J27" s="52">
        <f>IF(AND(Feiertage!$G$2&lt;&gt;"ja",AV27=1),IF(AZ27&gt;0,BB27+AZ27,BB27),IF(AZ27=0,0, IF(I27&lt;&gt;"",AZ27-I27,AZ27)))+AX27</f>
        <v>0</v>
      </c>
      <c r="K27" s="62">
        <f>IF(AV27=0,BB27,IF(Feiertage!$G$2="ja","00:00",BB27))</f>
        <v>0</v>
      </c>
      <c r="L27" s="52" t="str">
        <f t="shared" ca="1" si="11"/>
        <v/>
      </c>
      <c r="M27" s="50" t="str">
        <f>IF(AV27=1,AU27,IF(LOWER(AW27)=LOWER(Urlaub!$W$19),Urlaub!$S$19,
IF(LOWER(AW27)=LOWER(Urlaub!$W$20),Urlaub!$S$20,
IF(LOWER(AW27)=LOWER(Urlaub!$W$21),Urlaub!$S$21,
IF(LOWER(AW27)=LOWER(Urlaub!$W$22),Urlaub!$S$22,
IF(LOWER(AW27)=LOWER(Urlaub!$W$23),Urlaub!$S$23,
IF(LOWER(AW27)=LOWER(Urlaub!$W$24),Urlaub!$S$24,""))))))&amp;IF(AND(EXACT(LOWER(AW27),AW27),AW27&lt;&gt;0)," 1/2",""))</f>
        <v/>
      </c>
      <c r="N27" s="53">
        <f t="shared" si="2"/>
        <v>0</v>
      </c>
      <c r="AU27" t="str">
        <f>IF(AV27=1,VLOOKUP($B27,Feiertage!$B$2:$D$49,3,FALSE),"")</f>
        <v/>
      </c>
      <c r="AV27">
        <f>IF(IFERROR(MATCH($B27,Feiertage!$B$2:$B$49,0)&gt;0,0),1,0)</f>
        <v>0</v>
      </c>
      <c r="AW27" s="22">
        <f>IFERROR(HLOOKUP(DAY(B27),Urlaub!$C$4:$AG$16,MONTH(B27)+1,FALSE),0)</f>
        <v>0</v>
      </c>
      <c r="AX27" s="38">
        <f t="shared" si="10"/>
        <v>0</v>
      </c>
      <c r="AY27" s="7">
        <f t="shared" si="4"/>
        <v>2.0833333333333301E-2</v>
      </c>
      <c r="AZ27" s="5">
        <f t="shared" si="5"/>
        <v>0</v>
      </c>
      <c r="BA27" s="39">
        <f t="shared" si="7"/>
        <v>0</v>
      </c>
      <c r="BB27" s="5">
        <f t="shared" si="6"/>
        <v>0</v>
      </c>
    </row>
    <row r="28" spans="2:54" ht="18.75" x14ac:dyDescent="0.3">
      <c r="B28" s="43">
        <f t="shared" si="8"/>
        <v>41996</v>
      </c>
      <c r="C28" s="44">
        <f t="shared" si="9"/>
        <v>41996</v>
      </c>
      <c r="D28" s="3"/>
      <c r="E28" s="62"/>
      <c r="F28" s="62"/>
      <c r="G28" s="62"/>
      <c r="H28" s="62"/>
      <c r="I28" s="62" t="str">
        <f t="shared" ca="1" si="0"/>
        <v/>
      </c>
      <c r="J28" s="52">
        <f>IF(AND(Feiertage!$G$2&lt;&gt;"ja",AV28=1),IF(AZ28&gt;0,BB28+AZ28,BB28),IF(AZ28=0,0, IF(I28&lt;&gt;"",AZ28-I28,AZ28)))+AX28</f>
        <v>0</v>
      </c>
      <c r="K28" s="62">
        <f>IF(AV28=0,BB28,IF(Feiertage!$G$2="ja","00:00",BB28))</f>
        <v>0.33333333333333331</v>
      </c>
      <c r="L28" s="52" t="str">
        <f t="shared" ca="1" si="11"/>
        <v/>
      </c>
      <c r="M28" s="50" t="str">
        <f>IF(AV28=1,AU28,IF(LOWER(AW28)=LOWER(Urlaub!$W$19),Urlaub!$S$19,
IF(LOWER(AW28)=LOWER(Urlaub!$W$20),Urlaub!$S$20,
IF(LOWER(AW28)=LOWER(Urlaub!$W$21),Urlaub!$S$21,
IF(LOWER(AW28)=LOWER(Urlaub!$W$22),Urlaub!$S$22,
IF(LOWER(AW28)=LOWER(Urlaub!$W$23),Urlaub!$S$23,
IF(LOWER(AW28)=LOWER(Urlaub!$W$24),Urlaub!$S$24,""))))))&amp;IF(AND(EXACT(LOWER(AW28),AW28),AW28&lt;&gt;0)," 1/2",""))</f>
        <v/>
      </c>
      <c r="N28" s="53">
        <f t="shared" si="2"/>
        <v>0</v>
      </c>
      <c r="AU28" t="str">
        <f>IF(AV28=1,VLOOKUP($B28,Feiertage!$B$2:$D$49,3,FALSE),"")</f>
        <v/>
      </c>
      <c r="AV28">
        <f>IF(IFERROR(MATCH($B28,Feiertage!$B$2:$B$49,0)&gt;0,0),1,0)</f>
        <v>0</v>
      </c>
      <c r="AW28" s="22">
        <f>IFERROR(HLOOKUP(DAY(B28),Urlaub!$C$4:$AG$16,MONTH(B28)+1,FALSE),0)</f>
        <v>0</v>
      </c>
      <c r="AX28" s="38">
        <f t="shared" si="10"/>
        <v>0</v>
      </c>
      <c r="AY28" s="7">
        <f t="shared" si="4"/>
        <v>2.0833333333333332E-2</v>
      </c>
      <c r="AZ28" s="5">
        <f t="shared" si="5"/>
        <v>0</v>
      </c>
      <c r="BA28" s="39">
        <f t="shared" si="7"/>
        <v>0</v>
      </c>
      <c r="BB28" s="5">
        <f t="shared" si="6"/>
        <v>0.33333333333333331</v>
      </c>
    </row>
    <row r="29" spans="2:54" ht="18.75" x14ac:dyDescent="0.3">
      <c r="B29" s="43">
        <f t="shared" si="8"/>
        <v>41997</v>
      </c>
      <c r="C29" s="44">
        <f t="shared" si="9"/>
        <v>41997</v>
      </c>
      <c r="D29" s="3"/>
      <c r="E29" s="62"/>
      <c r="F29" s="62"/>
      <c r="G29" s="62"/>
      <c r="H29" s="62"/>
      <c r="I29" s="62" t="str">
        <f t="shared" ca="1" si="0"/>
        <v/>
      </c>
      <c r="J29" s="52">
        <f>IF(AND(Feiertage!$G$2&lt;&gt;"ja",AV29=1),IF(AZ29&gt;0,BB29+AZ29,BB29),IF(AZ29=0,0, IF(I29&lt;&gt;"",AZ29-I29,AZ29)))+AX29</f>
        <v>0.33333333333333331</v>
      </c>
      <c r="K29" s="62">
        <f>IF(AV29=0,BB29,IF(Feiertage!$G$2="ja","00:00",BB29))</f>
        <v>0.33333333333333331</v>
      </c>
      <c r="L29" s="52" t="str">
        <f t="shared" ca="1" si="11"/>
        <v/>
      </c>
      <c r="M29" s="50" t="str">
        <f>IF(AV29=1,AU29,IF(LOWER(AW29)=LOWER(Urlaub!$W$19),Urlaub!$S$19,
IF(LOWER(AW29)=LOWER(Urlaub!$W$20),Urlaub!$S$20,
IF(LOWER(AW29)=LOWER(Urlaub!$W$21),Urlaub!$S$21,
IF(LOWER(AW29)=LOWER(Urlaub!$W$22),Urlaub!$S$22,
IF(LOWER(AW29)=LOWER(Urlaub!$W$23),Urlaub!$S$23,
IF(LOWER(AW29)=LOWER(Urlaub!$W$24),Urlaub!$S$24,""))))))&amp;IF(AND(EXACT(LOWER(AW29),AW29),AW29&lt;&gt;0)," 1/2",""))</f>
        <v>1. Weihnachtstag</v>
      </c>
      <c r="N29" s="53">
        <f t="shared" si="2"/>
        <v>0</v>
      </c>
      <c r="AU29" t="str">
        <f>IF(AV29=1,VLOOKUP($B29,Feiertage!$B$2:$D$49,3,FALSE),"")</f>
        <v>1. Weihnachtstag</v>
      </c>
      <c r="AV29">
        <f>IF(IFERROR(MATCH($B29,Feiertage!$B$2:$B$49,0)&gt;0,0),1,0)</f>
        <v>1</v>
      </c>
      <c r="AW29" s="22">
        <f>IFERROR(HLOOKUP(DAY(B29),Urlaub!$C$4:$AG$16,MONTH(B29)+1,FALSE),0)</f>
        <v>0</v>
      </c>
      <c r="AX29" s="38">
        <f t="shared" si="10"/>
        <v>0</v>
      </c>
      <c r="AY29" s="7">
        <f t="shared" si="4"/>
        <v>2.0833333333333332E-2</v>
      </c>
      <c r="AZ29" s="5">
        <f t="shared" si="5"/>
        <v>0</v>
      </c>
      <c r="BA29" s="39">
        <f t="shared" si="7"/>
        <v>0</v>
      </c>
      <c r="BB29" s="5">
        <f t="shared" si="6"/>
        <v>0.33333333333333331</v>
      </c>
    </row>
    <row r="30" spans="2:54" ht="18.75" x14ac:dyDescent="0.3">
      <c r="B30" s="43">
        <f t="shared" si="8"/>
        <v>41998</v>
      </c>
      <c r="C30" s="44">
        <f t="shared" si="9"/>
        <v>41998</v>
      </c>
      <c r="D30" s="3"/>
      <c r="E30" s="62"/>
      <c r="F30" s="62"/>
      <c r="G30" s="62"/>
      <c r="H30" s="62"/>
      <c r="I30" s="62" t="str">
        <f t="shared" ca="1" si="0"/>
        <v/>
      </c>
      <c r="J30" s="52">
        <f>IF(AND(Feiertage!$G$2&lt;&gt;"ja",AV30=1),IF(AZ30&gt;0,BB30+AZ30,BB30),IF(AZ30=0,0, IF(I30&lt;&gt;"",AZ30-I30,AZ30)))+AX30</f>
        <v>0.33333333333333331</v>
      </c>
      <c r="K30" s="62">
        <f>IF(AV30=0,BB30,IF(Feiertage!$G$2="ja","00:00",BB30))</f>
        <v>0.33333333333333331</v>
      </c>
      <c r="L30" s="52" t="str">
        <f t="shared" ca="1" si="11"/>
        <v/>
      </c>
      <c r="M30" s="50" t="str">
        <f>IF(AV30=1,AU30,IF(LOWER(AW30)=LOWER(Urlaub!$W$19),Urlaub!$S$19,
IF(LOWER(AW30)=LOWER(Urlaub!$W$20),Urlaub!$S$20,
IF(LOWER(AW30)=LOWER(Urlaub!$W$21),Urlaub!$S$21,
IF(LOWER(AW30)=LOWER(Urlaub!$W$22),Urlaub!$S$22,
IF(LOWER(AW30)=LOWER(Urlaub!$W$23),Urlaub!$S$23,
IF(LOWER(AW30)=LOWER(Urlaub!$W$24),Urlaub!$S$24,""))))))&amp;IF(AND(EXACT(LOWER(AW30),AW30),AW30&lt;&gt;0)," 1/2",""))</f>
        <v>2. Weihnachtstag</v>
      </c>
      <c r="N30" s="53">
        <f t="shared" si="2"/>
        <v>0</v>
      </c>
      <c r="AU30" t="str">
        <f>IF(AV30=1,VLOOKUP($B30,Feiertage!$B$2:$D$49,3,FALSE),"")</f>
        <v>2. Weihnachtstag</v>
      </c>
      <c r="AV30">
        <f>IF(IFERROR(MATCH($B30,Feiertage!$B$2:$B$49,0)&gt;0,0),1,0)</f>
        <v>1</v>
      </c>
      <c r="AW30" s="22">
        <f>IFERROR(HLOOKUP(DAY(B30),Urlaub!$C$4:$AG$16,MONTH(B30)+1,FALSE),0)</f>
        <v>0</v>
      </c>
      <c r="AX30" s="38">
        <f t="shared" si="10"/>
        <v>0</v>
      </c>
      <c r="AY30" s="7">
        <f t="shared" si="4"/>
        <v>2.0833333333333301E-2</v>
      </c>
      <c r="AZ30" s="5">
        <f t="shared" si="5"/>
        <v>0</v>
      </c>
      <c r="BA30" s="39">
        <f t="shared" si="7"/>
        <v>0</v>
      </c>
      <c r="BB30" s="5">
        <f t="shared" si="6"/>
        <v>0.33333333333333331</v>
      </c>
    </row>
    <row r="31" spans="2:54" ht="18.75" x14ac:dyDescent="0.3">
      <c r="B31" s="43">
        <f t="shared" si="8"/>
        <v>41999</v>
      </c>
      <c r="C31" s="44">
        <f t="shared" si="9"/>
        <v>41999</v>
      </c>
      <c r="D31" s="3"/>
      <c r="E31" s="62"/>
      <c r="F31" s="62"/>
      <c r="G31" s="62"/>
      <c r="H31" s="62"/>
      <c r="I31" s="62" t="str">
        <f t="shared" ca="1" si="0"/>
        <v/>
      </c>
      <c r="J31" s="52">
        <f>IF(AND(Feiertage!$G$2&lt;&gt;"ja",AV31=1),IF(AZ31&gt;0,BB31+AZ31,BB31),IF(AZ31=0,0, IF(I31&lt;&gt;"",AZ31-I31,AZ31)))+AX31</f>
        <v>0</v>
      </c>
      <c r="K31" s="62">
        <f>IF(AV31=0,BB31,IF(Feiertage!$G$2="ja","00:00",BB31))</f>
        <v>0.33333333333333331</v>
      </c>
      <c r="L31" s="52" t="str">
        <f t="shared" ca="1" si="11"/>
        <v/>
      </c>
      <c r="M31" s="50" t="str">
        <f>IF(AV31=1,AU31,IF(LOWER(AW31)=LOWER(Urlaub!$W$19),Urlaub!$S$19,
IF(LOWER(AW31)=LOWER(Urlaub!$W$20),Urlaub!$S$20,
IF(LOWER(AW31)=LOWER(Urlaub!$W$21),Urlaub!$S$21,
IF(LOWER(AW31)=LOWER(Urlaub!$W$22),Urlaub!$S$22,
IF(LOWER(AW31)=LOWER(Urlaub!$W$23),Urlaub!$S$23,
IF(LOWER(AW31)=LOWER(Urlaub!$W$24),Urlaub!$S$24,""))))))&amp;IF(AND(EXACT(LOWER(AW31),AW31),AW31&lt;&gt;0)," 1/2",""))</f>
        <v/>
      </c>
      <c r="N31" s="53">
        <f t="shared" si="2"/>
        <v>0</v>
      </c>
      <c r="AU31" t="str">
        <f>IF(AV31=1,VLOOKUP($B31,Feiertage!$B$2:$D$49,3,FALSE),"")</f>
        <v/>
      </c>
      <c r="AV31">
        <f>IF(IFERROR(MATCH($B31,Feiertage!$B$2:$B$49,0)&gt;0,0),1,0)</f>
        <v>0</v>
      </c>
      <c r="AW31" s="22">
        <f>IFERROR(HLOOKUP(DAY(B31),Urlaub!$C$4:$AG$16,MONTH(B31)+1,FALSE),0)</f>
        <v>0</v>
      </c>
      <c r="AX31" s="38">
        <f t="shared" si="10"/>
        <v>0</v>
      </c>
      <c r="AY31" s="7">
        <f t="shared" si="4"/>
        <v>2.0833333333333301E-2</v>
      </c>
      <c r="AZ31" s="5">
        <f t="shared" si="5"/>
        <v>0</v>
      </c>
      <c r="BA31" s="39">
        <f t="shared" si="7"/>
        <v>0</v>
      </c>
      <c r="BB31" s="5">
        <f t="shared" si="6"/>
        <v>0.33333333333333331</v>
      </c>
    </row>
    <row r="32" spans="2:54" ht="18.75" x14ac:dyDescent="0.3">
      <c r="B32" s="43">
        <f t="shared" si="8"/>
        <v>42000</v>
      </c>
      <c r="C32" s="44">
        <f t="shared" si="9"/>
        <v>42000</v>
      </c>
      <c r="D32" s="3"/>
      <c r="E32" s="62"/>
      <c r="F32" s="62"/>
      <c r="G32" s="62"/>
      <c r="H32" s="62"/>
      <c r="I32" s="62" t="str">
        <f t="shared" ca="1" si="0"/>
        <v/>
      </c>
      <c r="J32" s="52">
        <f>IF(AND(Feiertage!$G$2&lt;&gt;"ja",AV32=1),IF(AZ32&gt;0,BB32+AZ32,BB32),IF(AZ32=0,0, IF(I32&lt;&gt;"",AZ32-I32,AZ32)))+AX32</f>
        <v>0</v>
      </c>
      <c r="K32" s="62">
        <f>IF(AV32=0,BB32,IF(Feiertage!$G$2="ja","00:00",BB32))</f>
        <v>0.33333333333333331</v>
      </c>
      <c r="L32" s="52" t="str">
        <f t="shared" ca="1" si="11"/>
        <v/>
      </c>
      <c r="M32" s="50" t="str">
        <f>IF(AV32=1,AU32,IF(LOWER(AW32)=LOWER(Urlaub!$W$19),Urlaub!$S$19,
IF(LOWER(AW32)=LOWER(Urlaub!$W$20),Urlaub!$S$20,
IF(LOWER(AW32)=LOWER(Urlaub!$W$21),Urlaub!$S$21,
IF(LOWER(AW32)=LOWER(Urlaub!$W$22),Urlaub!$S$22,
IF(LOWER(AW32)=LOWER(Urlaub!$W$23),Urlaub!$S$23,
IF(LOWER(AW32)=LOWER(Urlaub!$W$24),Urlaub!$S$24,""))))))&amp;IF(AND(EXACT(LOWER(AW32),AW32),AW32&lt;&gt;0)," 1/2",""))</f>
        <v/>
      </c>
      <c r="N32" s="53">
        <f t="shared" si="2"/>
        <v>0</v>
      </c>
      <c r="AU32" t="str">
        <f>IF(AV32=1,VLOOKUP($B32,Feiertage!$B$2:$D$49,3,FALSE),"")</f>
        <v/>
      </c>
      <c r="AV32">
        <f>IF(IFERROR(MATCH($B32,Feiertage!$B$2:$B$49,0)&gt;0,0),1,0)</f>
        <v>0</v>
      </c>
      <c r="AW32" s="22">
        <f>IFERROR(HLOOKUP(DAY(B32),Urlaub!$C$4:$AG$16,MONTH(B32)+1,FALSE),0)</f>
        <v>0</v>
      </c>
      <c r="AX32" s="38">
        <f t="shared" si="10"/>
        <v>0</v>
      </c>
      <c r="AY32" s="7">
        <f t="shared" si="4"/>
        <v>2.0833333333333301E-2</v>
      </c>
      <c r="AZ32" s="5">
        <f t="shared" si="5"/>
        <v>0</v>
      </c>
      <c r="BA32" s="39">
        <f t="shared" si="7"/>
        <v>0</v>
      </c>
      <c r="BB32" s="5">
        <f t="shared" si="6"/>
        <v>0.33333333333333331</v>
      </c>
    </row>
    <row r="33" spans="2:54" ht="18.75" x14ac:dyDescent="0.3">
      <c r="B33" s="43">
        <f>IF(B32&lt;&gt;"",IF(MONTH($B$1)&lt;MONTH(B32+1),"",B32+1),"")</f>
        <v>42001</v>
      </c>
      <c r="C33" s="44">
        <f t="shared" si="9"/>
        <v>42001</v>
      </c>
      <c r="D33" s="3"/>
      <c r="E33" s="62"/>
      <c r="F33" s="62"/>
      <c r="G33" s="62"/>
      <c r="H33" s="62"/>
      <c r="I33" s="62" t="str">
        <f t="shared" ca="1" si="0"/>
        <v/>
      </c>
      <c r="J33" s="52">
        <f>IF(B33&lt;&gt;"",IF(AND(Feiertage!$G$2&lt;&gt;"ja",AV33=1),IF(AZ33&gt;0,BB33+AZ33,BB33),IF(AZ33=0,0, IF(I33&lt;&gt;"",AZ33-I33,AZ33)))+AX33,"")</f>
        <v>0</v>
      </c>
      <c r="K33" s="62">
        <f>IF(B33&lt;&gt;"",IF(AV33=0,BB33,IF(Feiertage!$G$2="ja","00:00",BB33)),"")</f>
        <v>0</v>
      </c>
      <c r="L33" s="52" t="str">
        <f t="shared" ca="1" si="11"/>
        <v/>
      </c>
      <c r="M33" s="50" t="str">
        <f>IF(AV33=1,AU33,IF(LOWER(AW33)=LOWER(Urlaub!$W$19),Urlaub!$S$19,
IF(LOWER(AW33)=LOWER(Urlaub!$W$20),Urlaub!$S$20,
IF(LOWER(AW33)=LOWER(Urlaub!$W$21),Urlaub!$S$21,
IF(LOWER(AW33)=LOWER(Urlaub!$W$22),Urlaub!$S$22,
IF(LOWER(AW33)=LOWER(Urlaub!$W$23),Urlaub!$S$23,
IF(LOWER(AW33)=LOWER(Urlaub!$W$24),Urlaub!$S$24,""))))))&amp;IF(AND(EXACT(LOWER(AW33),AW33),AW33&lt;&gt;0)," 1/2",""))</f>
        <v/>
      </c>
      <c r="N33" s="53">
        <f>IF(J33&lt;&gt;"",24*J33*IF(WEEKDAY(C33)=WEEKDAY($P$6),$S$6,
IF(WEEKDAY(C33)=WEEKDAY($P$7),$S$7,
IF(WEEKDAY(C33)=WEEKDAY($P$8),$S$8,
IF(WEEKDAY(C33)=WEEKDAY($P$9),$S$9,
IF(WEEKDAY(C33)=WEEKDAY($P$10),$S$10,
IF(WEEKDAY(C33)=WEEKDAY($P$11),$S$11,
IF(WEEKDAY(C33)=WEEKDAY($P$12),$S$12,""))))))),"")</f>
        <v>0</v>
      </c>
      <c r="AU33" t="str">
        <f>IF(AV33=1,VLOOKUP($B33,Feiertage!$B$2:$D$49,3,FALSE),"")</f>
        <v/>
      </c>
      <c r="AV33">
        <f>IF(IFERROR(MATCH($B33,Feiertage!$B$2:$B$49,0)&gt;0,0),1,0)</f>
        <v>0</v>
      </c>
      <c r="AW33" s="22">
        <f>IFERROR(HLOOKUP(DAY(B33),Urlaub!$C$4:$AG$16,MONTH(B33)+1,FALSE),0)</f>
        <v>0</v>
      </c>
      <c r="AX33" s="38">
        <f t="shared" si="10"/>
        <v>0</v>
      </c>
      <c r="AY33" s="7">
        <f t="shared" si="4"/>
        <v>2.0833333333333301E-2</v>
      </c>
      <c r="AZ33" s="5">
        <f t="shared" si="5"/>
        <v>0</v>
      </c>
      <c r="BA33" s="39">
        <f t="shared" si="7"/>
        <v>0</v>
      </c>
      <c r="BB33" s="5">
        <f t="shared" si="6"/>
        <v>0</v>
      </c>
    </row>
    <row r="34" spans="2:54" ht="18.75" x14ac:dyDescent="0.3">
      <c r="B34" s="43">
        <f t="shared" ref="B34:B35" si="12">IF(B33&lt;&gt;"",IF(MONTH($B$1)&lt;MONTH(B33+1),"",B33+1),"")</f>
        <v>42002</v>
      </c>
      <c r="C34" s="44">
        <f t="shared" si="9"/>
        <v>42002</v>
      </c>
      <c r="D34" s="3"/>
      <c r="E34" s="62"/>
      <c r="F34" s="62"/>
      <c r="G34" s="62"/>
      <c r="H34" s="62"/>
      <c r="I34" s="62" t="str">
        <f t="shared" ca="1" si="0"/>
        <v/>
      </c>
      <c r="J34" s="52">
        <f>IF(B34&lt;&gt;"",IF(AND(Feiertage!$G$2&lt;&gt;"ja",AV34=1),IF(AZ34&gt;0,BB34+AZ34,BB34),IF(AZ34=0,0, IF(I34&lt;&gt;"",AZ34-I34,AZ34)))+AX34,"")</f>
        <v>0</v>
      </c>
      <c r="K34" s="62">
        <f>IF(B34&lt;&gt;"",IF(AV34=0,BB34,IF(Feiertage!$G$2="ja","00:00",BB34)),"")</f>
        <v>0</v>
      </c>
      <c r="L34" s="52" t="str">
        <f t="shared" ca="1" si="11"/>
        <v/>
      </c>
      <c r="M34" s="50" t="str">
        <f>IF(AV34=1,AU34,IF(LOWER(AW34)=LOWER(Urlaub!$W$19),Urlaub!$S$19,
IF(LOWER(AW34)=LOWER(Urlaub!$W$20),Urlaub!$S$20,
IF(LOWER(AW34)=LOWER(Urlaub!$W$21),Urlaub!$S$21,
IF(LOWER(AW34)=LOWER(Urlaub!$W$22),Urlaub!$S$22,
IF(LOWER(AW34)=LOWER(Urlaub!$W$23),Urlaub!$S$23,
IF(LOWER(AW34)=LOWER(Urlaub!$W$24),Urlaub!$S$24,""))))))&amp;IF(AND(EXACT(LOWER(AW34),AW34),AW34&lt;&gt;0)," 1/2",""))</f>
        <v/>
      </c>
      <c r="N34" s="53">
        <f>IF(J34&lt;&gt;"",24*J34*IF(WEEKDAY(C34)=WEEKDAY($P$6),$S$6,
IF(WEEKDAY(C34)=WEEKDAY($P$7),$S$7,
IF(WEEKDAY(C34)=WEEKDAY($P$8),$S$8,
IF(WEEKDAY(C34)=WEEKDAY($P$9),$S$9,
IF(WEEKDAY(C34)=WEEKDAY($P$10),$S$10,
IF(WEEKDAY(C34)=WEEKDAY($P$11),$S$11,
IF(WEEKDAY(C34)=WEEKDAY($P$12),$S$12,""))))))),"")</f>
        <v>0</v>
      </c>
      <c r="AU34" t="str">
        <f>IF(AV34=1,VLOOKUP($B34,Feiertage!$B$2:$D$49,3,FALSE),"")</f>
        <v/>
      </c>
      <c r="AV34">
        <f>IF(IFERROR(MATCH($B34,Feiertage!$B$2:$B$49,0)&gt;0,0),1,0)</f>
        <v>0</v>
      </c>
      <c r="AW34" s="22">
        <f>IFERROR(HLOOKUP(DAY(B34),Urlaub!$C$4:$AG$16,MONTH(B34)+1,FALSE),0)</f>
        <v>0</v>
      </c>
      <c r="AX34" s="38">
        <f t="shared" si="10"/>
        <v>0</v>
      </c>
      <c r="AY34" s="7">
        <f t="shared" si="4"/>
        <v>2.0833333333333301E-2</v>
      </c>
      <c r="AZ34" s="5">
        <f t="shared" si="5"/>
        <v>0</v>
      </c>
      <c r="BA34" s="39">
        <f t="shared" si="7"/>
        <v>0</v>
      </c>
      <c r="BB34" s="5">
        <f t="shared" si="6"/>
        <v>0</v>
      </c>
    </row>
    <row r="35" spans="2:54" ht="19.5" thickBot="1" x14ac:dyDescent="0.35">
      <c r="B35" s="70">
        <f t="shared" si="12"/>
        <v>42003</v>
      </c>
      <c r="C35" s="71">
        <f t="shared" si="9"/>
        <v>42003</v>
      </c>
      <c r="D35" s="72"/>
      <c r="E35" s="73"/>
      <c r="F35" s="73"/>
      <c r="G35" s="73"/>
      <c r="H35" s="74"/>
      <c r="I35" s="74" t="str">
        <f t="shared" ca="1" si="0"/>
        <v/>
      </c>
      <c r="J35" s="76">
        <f>IF(B35&lt;&gt;"",IF(AND(Feiertage!$G$2&lt;&gt;"ja",AV35=1),IF(AZ35&gt;0,BB35+AZ35,BB35),IF(AZ35=0,0, IF(I35&lt;&gt;"",AZ35-I35,AZ35)))+AX35,"")</f>
        <v>0</v>
      </c>
      <c r="K35" s="73">
        <f>IF(B35&lt;&gt;"",IF(AV35=0,BB35,IF(Feiertage!$G$2="ja","00:00",BB35)),"")</f>
        <v>0.33333333333333331</v>
      </c>
      <c r="L35" s="52" t="str">
        <f t="shared" ca="1" si="11"/>
        <v/>
      </c>
      <c r="M35" s="50" t="str">
        <f>IF(AV35=1,AU35,IF(LOWER(AW35)=LOWER(Urlaub!$W$19),Urlaub!$S$19,
IF(LOWER(AW35)=LOWER(Urlaub!$W$20),Urlaub!$S$20,
IF(LOWER(AW35)=LOWER(Urlaub!$W$21),Urlaub!$S$21,
IF(LOWER(AW35)=LOWER(Urlaub!$W$22),Urlaub!$S$22,
IF(LOWER(AW35)=LOWER(Urlaub!$W$23),Urlaub!$S$23,
IF(LOWER(AW35)=LOWER(Urlaub!$W$24),Urlaub!$S$24,""))))))&amp;IF(AND(EXACT(LOWER(AW35),AW35),AW35&lt;&gt;0)," 1/2",""))</f>
        <v/>
      </c>
      <c r="N35" s="77">
        <f>IF(J35&lt;&gt;"",24*J35*IF(WEEKDAY(C35)=WEEKDAY($P$6),$S$6,
IF(WEEKDAY(C35)=WEEKDAY($P$7),$S$7,
IF(WEEKDAY(C35)=WEEKDAY($P$8),$S$8,
IF(WEEKDAY(C35)=WEEKDAY($P$9),$S$9,
IF(WEEKDAY(C35)=WEEKDAY($P$10),$S$10,
IF(WEEKDAY(C35)=WEEKDAY($P$11),$S$11,
IF(WEEKDAY(C35)=WEEKDAY($P$12),$S$12,""))))))),"")</f>
        <v>0</v>
      </c>
      <c r="AU35" t="str">
        <f>IF(AV35=1,VLOOKUP($B35,Feiertage!$B$2:$D$49,3,FALSE),"")</f>
        <v/>
      </c>
      <c r="AV35">
        <f>IF(IFERROR(MATCH($B35,Feiertage!$B$2:$B$49,0)&gt;0,0),1,0)</f>
        <v>0</v>
      </c>
      <c r="AW35" s="22">
        <f>IFERROR(HLOOKUP(DAY(B35),Urlaub!$C$4:$AG$16,MONTH(B35)+1,FALSE),0)</f>
        <v>0</v>
      </c>
      <c r="AX35" s="38">
        <f t="shared" si="10"/>
        <v>0</v>
      </c>
      <c r="AY35" s="7">
        <f t="shared" si="4"/>
        <v>2.0833333333333332E-2</v>
      </c>
      <c r="AZ35" s="5">
        <f t="shared" si="5"/>
        <v>0</v>
      </c>
      <c r="BA35" s="39">
        <f t="shared" si="7"/>
        <v>0</v>
      </c>
      <c r="BB35" s="5">
        <f t="shared" si="6"/>
        <v>0.33333333333333331</v>
      </c>
    </row>
    <row r="36" spans="2:54" ht="5.25" customHeight="1" thickTop="1" thickBot="1" x14ac:dyDescent="0.3">
      <c r="B36" s="1"/>
      <c r="H36" s="75"/>
      <c r="I36" s="75"/>
      <c r="J36" s="75"/>
      <c r="K36" s="2"/>
      <c r="L36" s="75"/>
    </row>
    <row r="37" spans="2:54" ht="24" thickBot="1" x14ac:dyDescent="0.4">
      <c r="B37" s="139" t="s">
        <v>74</v>
      </c>
      <c r="C37" s="140"/>
      <c r="D37" s="140"/>
      <c r="E37" s="140"/>
      <c r="F37" s="140"/>
      <c r="G37" s="140"/>
      <c r="H37" s="140"/>
      <c r="I37" s="141"/>
      <c r="J37" s="47">
        <f>SUM(J5:J35)</f>
        <v>0.66666666666666663</v>
      </c>
      <c r="K37" s="47">
        <f t="shared" ref="K37" si="13">SUM(K5:K35)</f>
        <v>6.9999999999999973</v>
      </c>
      <c r="L37" s="47">
        <f ca="1">SUM(L5:L35)</f>
        <v>0</v>
      </c>
      <c r="M37" s="47">
        <f>SUM(AX5:AX35)</f>
        <v>0</v>
      </c>
      <c r="N37" s="48">
        <f t="shared" ref="N37" si="14">SUM(N5:N35)</f>
        <v>0</v>
      </c>
    </row>
    <row r="38" spans="2:54" x14ac:dyDescent="0.25">
      <c r="B38" s="1"/>
    </row>
    <row r="39" spans="2:54" x14ac:dyDescent="0.25">
      <c r="B39" s="1"/>
    </row>
  </sheetData>
  <sheetProtection algorithmName="SHA-512" hashValue="ptI7gtZufJGuPQ2TAMquM68bgO09KBUlitp8C/mvKFBLVcmxbs+ydboHeFVh4snqpPs4XsHc7L9y4iqfcaNZ+A==" saltValue="KI7eMfrNEHCFamGutS/4CA==" spinCount="100000" sheet="1" selectLockedCells="1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7">
    <mergeCell ref="E3:H3"/>
    <mergeCell ref="B37:I37"/>
    <mergeCell ref="B1:N1"/>
    <mergeCell ref="U4:V4"/>
    <mergeCell ref="P4:S4"/>
    <mergeCell ref="P15:V15"/>
    <mergeCell ref="P16:V18"/>
  </mergeCells>
  <conditionalFormatting sqref="B5:N35">
    <cfRule type="expression" dxfId="17" priority="2" stopIfTrue="1">
      <formula>WEEKDAY($B5,2)&gt;5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46E5F70D-DE9B-48B6-A7F3-D79362D5DE67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B5:N35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A1:BR184"/>
  <sheetViews>
    <sheetView workbookViewId="0">
      <selection activeCell="J19" sqref="J19:K19"/>
    </sheetView>
  </sheetViews>
  <sheetFormatPr baseColWidth="10" defaultColWidth="4.5703125" defaultRowHeight="20.25" customHeight="1" x14ac:dyDescent="0.25"/>
  <cols>
    <col min="1" max="1" width="4.5703125" style="23"/>
    <col min="2" max="2" width="13.5703125" bestFit="1" customWidth="1"/>
    <col min="37" max="37" width="4.5703125" style="23"/>
    <col min="38" max="38" width="4.7109375" style="23" customWidth="1"/>
    <col min="39" max="39" width="5" style="29" customWidth="1"/>
    <col min="40" max="40" width="12.7109375" style="23" bestFit="1" customWidth="1"/>
    <col min="41" max="47" width="6.140625" style="23" bestFit="1" customWidth="1"/>
    <col min="48" max="59" width="7.140625" style="23" bestFit="1" customWidth="1"/>
    <col min="60" max="69" width="7.140625" bestFit="1" customWidth="1"/>
  </cols>
  <sheetData>
    <row r="1" spans="2:70" s="23" customFormat="1" ht="5.25" customHeight="1" x14ac:dyDescent="0.25"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M1" s="29"/>
    </row>
    <row r="2" spans="2:70" s="23" customFormat="1" ht="27" customHeight="1" x14ac:dyDescent="0.25">
      <c r="B2" s="28">
        <f>YEAR(Januar!B1)</f>
        <v>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M2" s="29"/>
    </row>
    <row r="3" spans="2:70" s="23" customFormat="1" ht="6" customHeight="1" thickBot="1" x14ac:dyDescent="0.3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M3" s="29"/>
    </row>
    <row r="4" spans="2:70" ht="25.5" customHeight="1" thickBot="1" x14ac:dyDescent="0.3">
      <c r="B4" s="86" t="s">
        <v>49</v>
      </c>
      <c r="C4" s="87">
        <v>1</v>
      </c>
      <c r="D4" s="87">
        <v>2</v>
      </c>
      <c r="E4" s="87">
        <v>3</v>
      </c>
      <c r="F4" s="87">
        <v>4</v>
      </c>
      <c r="G4" s="87">
        <v>5</v>
      </c>
      <c r="H4" s="87">
        <v>6</v>
      </c>
      <c r="I4" s="87">
        <v>7</v>
      </c>
      <c r="J4" s="87">
        <v>8</v>
      </c>
      <c r="K4" s="87">
        <v>9</v>
      </c>
      <c r="L4" s="88">
        <v>10</v>
      </c>
      <c r="M4" s="88">
        <v>11</v>
      </c>
      <c r="N4" s="88">
        <v>12</v>
      </c>
      <c r="O4" s="88">
        <v>13</v>
      </c>
      <c r="P4" s="88">
        <v>14</v>
      </c>
      <c r="Q4" s="88">
        <v>15</v>
      </c>
      <c r="R4" s="88">
        <v>16</v>
      </c>
      <c r="S4" s="88">
        <v>17</v>
      </c>
      <c r="T4" s="88">
        <v>18</v>
      </c>
      <c r="U4" s="88">
        <v>19</v>
      </c>
      <c r="V4" s="88">
        <v>20</v>
      </c>
      <c r="W4" s="88">
        <v>21</v>
      </c>
      <c r="X4" s="88">
        <v>22</v>
      </c>
      <c r="Y4" s="88">
        <v>23</v>
      </c>
      <c r="Z4" s="88">
        <v>24</v>
      </c>
      <c r="AA4" s="88">
        <v>25</v>
      </c>
      <c r="AB4" s="88">
        <v>26</v>
      </c>
      <c r="AC4" s="88">
        <v>27</v>
      </c>
      <c r="AD4" s="88">
        <v>28</v>
      </c>
      <c r="AE4" s="88">
        <v>29</v>
      </c>
      <c r="AF4" s="88">
        <v>30</v>
      </c>
      <c r="AG4" s="89">
        <v>31</v>
      </c>
      <c r="AH4" s="81" t="str">
        <f>W19</f>
        <v>U</v>
      </c>
      <c r="AI4" s="82" t="str">
        <f>W20</f>
        <v>D</v>
      </c>
      <c r="AJ4" s="83" t="str">
        <f>W21</f>
        <v>K</v>
      </c>
      <c r="AK4" s="84" t="str">
        <f>W22</f>
        <v>B</v>
      </c>
      <c r="AL4" s="111" t="str">
        <f>W23</f>
        <v>E</v>
      </c>
      <c r="AM4" s="85" t="str">
        <f>W24</f>
        <v>S</v>
      </c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</row>
    <row r="5" spans="2:70" ht="21" customHeight="1" x14ac:dyDescent="0.25">
      <c r="B5" s="90">
        <f>DATEVALUE("01.01."&amp;$B$2)</f>
        <v>41639</v>
      </c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94">
        <f>SUMPRODUCT((--EXACT($Z$19,C5:AG5)))/2+SUMPRODUCT((--EXACT($W$19,C5:AG5)))</f>
        <v>0</v>
      </c>
      <c r="AI5" s="94">
        <f>SUMPRODUCT((--EXACT($Z$20,C5:AG5)))/2+SUMPRODUCT((--EXACT($W$20,C5:AG5)))</f>
        <v>0</v>
      </c>
      <c r="AJ5" s="94">
        <f>SUMPRODUCT((--EXACT($Z$21,C5:AG5)))/2+SUMPRODUCT((--EXACT($W$21,C5:AG5)))</f>
        <v>0</v>
      </c>
      <c r="AK5" s="94">
        <f>SUMPRODUCT((--EXACT($Z$22,C5:AG5)))/2+SUMPRODUCT((--EXACT($W$22,C5:AG5)))</f>
        <v>0</v>
      </c>
      <c r="AL5" s="94">
        <f>SUMPRODUCT((--EXACT($Z$23,C5:AG5)))/2+SUMPRODUCT((--EXACT($W$23,C5:AG5)))</f>
        <v>0</v>
      </c>
      <c r="AM5" s="94">
        <f>SUMPRODUCT((--EXACT($Z$24,C5:AG5)))/2+SUMPRODUCT((--EXACT($W$24,C5:AG5)))</f>
        <v>0</v>
      </c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1"/>
    </row>
    <row r="6" spans="2:70" ht="21" customHeight="1" x14ac:dyDescent="0.25">
      <c r="B6" s="95">
        <f>DATEVALUE("01.02."&amp;$B$2)</f>
        <v>41670</v>
      </c>
      <c r="C6" s="96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8"/>
      <c r="AF6" s="98"/>
      <c r="AG6" s="99"/>
      <c r="AH6" s="94">
        <f t="shared" ref="AH6:AH16" si="0">SUMPRODUCT((--EXACT($Z$19,C6:AG6)))/2+SUMPRODUCT((--EXACT($W$19,C6:AG6)))</f>
        <v>0</v>
      </c>
      <c r="AI6" s="94">
        <f t="shared" ref="AI6:AI16" si="1">SUMPRODUCT((--EXACT($Z$20,C6:AG6)))/2+SUMPRODUCT((--EXACT($W$20,C6:AG6)))</f>
        <v>0</v>
      </c>
      <c r="AJ6" s="94">
        <f t="shared" ref="AJ6:AJ16" si="2">SUMPRODUCT((--EXACT($Z$21,C6:AG6)))/2+SUMPRODUCT((--EXACT($W$21,C6:AG6)))</f>
        <v>0</v>
      </c>
      <c r="AK6" s="94">
        <f t="shared" ref="AK6:AK16" si="3">SUMPRODUCT((--EXACT($Z$22,C6:AG6)))/2+SUMPRODUCT((--EXACT($W$22,C6:AG6)))</f>
        <v>0</v>
      </c>
      <c r="AL6" s="94">
        <f t="shared" ref="AL6:AL16" si="4">SUMPRODUCT((--EXACT($Z$23,C6:AG6)))/2+SUMPRODUCT((--EXACT($W$23,C6:AG6)))</f>
        <v>0</v>
      </c>
      <c r="AM6" s="94">
        <f t="shared" ref="AM6:AM16" si="5">SUMPRODUCT((--EXACT($Z$24,C6:AG6)))/2+SUMPRODUCT((--EXACT($W$24,C6:AG6)))</f>
        <v>0</v>
      </c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</row>
    <row r="7" spans="2:70" ht="21" customHeight="1" x14ac:dyDescent="0.25">
      <c r="B7" s="95">
        <f>DATEVALUE("01.03."&amp;$B$2)</f>
        <v>41698</v>
      </c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100"/>
      <c r="AH7" s="94">
        <f t="shared" si="0"/>
        <v>0</v>
      </c>
      <c r="AI7" s="94">
        <f t="shared" si="1"/>
        <v>0</v>
      </c>
      <c r="AJ7" s="94">
        <f t="shared" si="2"/>
        <v>0</v>
      </c>
      <c r="AK7" s="94">
        <f t="shared" si="3"/>
        <v>0</v>
      </c>
      <c r="AL7" s="94">
        <f t="shared" si="4"/>
        <v>0</v>
      </c>
      <c r="AM7" s="94">
        <f t="shared" si="5"/>
        <v>0</v>
      </c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1"/>
    </row>
    <row r="8" spans="2:70" ht="21" customHeight="1" x14ac:dyDescent="0.25">
      <c r="B8" s="95">
        <f>DATEVALUE("01.04."&amp;$B$2)</f>
        <v>41729</v>
      </c>
      <c r="C8" s="96"/>
      <c r="D8" s="101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102"/>
      <c r="AE8" s="97"/>
      <c r="AF8" s="97"/>
      <c r="AG8" s="99"/>
      <c r="AH8" s="94">
        <f t="shared" si="0"/>
        <v>0</v>
      </c>
      <c r="AI8" s="94">
        <f t="shared" si="1"/>
        <v>0</v>
      </c>
      <c r="AJ8" s="94">
        <f t="shared" si="2"/>
        <v>0</v>
      </c>
      <c r="AK8" s="94">
        <f t="shared" si="3"/>
        <v>0</v>
      </c>
      <c r="AL8" s="94">
        <f t="shared" si="4"/>
        <v>0</v>
      </c>
      <c r="AM8" s="94">
        <f t="shared" si="5"/>
        <v>0</v>
      </c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</row>
    <row r="9" spans="2:70" ht="21" customHeight="1" x14ac:dyDescent="0.25">
      <c r="B9" s="95">
        <f>DATEVALUE("01.05."&amp;$B$2)</f>
        <v>41759</v>
      </c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100"/>
      <c r="AH9" s="94">
        <f t="shared" si="0"/>
        <v>0</v>
      </c>
      <c r="AI9" s="94">
        <f t="shared" si="1"/>
        <v>0</v>
      </c>
      <c r="AJ9" s="94">
        <f t="shared" si="2"/>
        <v>0</v>
      </c>
      <c r="AK9" s="94">
        <f t="shared" si="3"/>
        <v>0</v>
      </c>
      <c r="AL9" s="94">
        <f t="shared" si="4"/>
        <v>0</v>
      </c>
      <c r="AM9" s="94">
        <f t="shared" si="5"/>
        <v>0</v>
      </c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1"/>
    </row>
    <row r="10" spans="2:70" ht="21" customHeight="1" x14ac:dyDescent="0.25">
      <c r="B10" s="95">
        <f>DATEVALUE("01.06."&amp;$B$2)</f>
        <v>41790</v>
      </c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9"/>
      <c r="AH10" s="94">
        <f t="shared" si="0"/>
        <v>0</v>
      </c>
      <c r="AI10" s="94">
        <f t="shared" si="1"/>
        <v>0</v>
      </c>
      <c r="AJ10" s="94">
        <f t="shared" si="2"/>
        <v>0</v>
      </c>
      <c r="AK10" s="94">
        <f t="shared" si="3"/>
        <v>0</v>
      </c>
      <c r="AL10" s="94">
        <f t="shared" si="4"/>
        <v>0</v>
      </c>
      <c r="AM10" s="94">
        <f t="shared" si="5"/>
        <v>0</v>
      </c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</row>
    <row r="11" spans="2:70" ht="21" customHeight="1" x14ac:dyDescent="0.25">
      <c r="B11" s="95">
        <f>DATEVALUE("01.07."&amp;$B$2)</f>
        <v>41820</v>
      </c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100"/>
      <c r="AH11" s="94">
        <f t="shared" si="0"/>
        <v>0</v>
      </c>
      <c r="AI11" s="94">
        <f t="shared" si="1"/>
        <v>0</v>
      </c>
      <c r="AJ11" s="94">
        <f t="shared" si="2"/>
        <v>0</v>
      </c>
      <c r="AK11" s="94">
        <f t="shared" si="3"/>
        <v>0</v>
      </c>
      <c r="AL11" s="94">
        <f t="shared" si="4"/>
        <v>0</v>
      </c>
      <c r="AM11" s="94">
        <f t="shared" si="5"/>
        <v>0</v>
      </c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</row>
    <row r="12" spans="2:70" ht="21" customHeight="1" x14ac:dyDescent="0.25">
      <c r="B12" s="95">
        <f>DATEVALUE("01.08."&amp;$B$2)</f>
        <v>41851</v>
      </c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100"/>
      <c r="AH12" s="94">
        <f t="shared" si="0"/>
        <v>0</v>
      </c>
      <c r="AI12" s="94">
        <f t="shared" si="1"/>
        <v>0</v>
      </c>
      <c r="AJ12" s="94">
        <f t="shared" si="2"/>
        <v>0</v>
      </c>
      <c r="AK12" s="94">
        <f t="shared" si="3"/>
        <v>0</v>
      </c>
      <c r="AL12" s="94">
        <f t="shared" si="4"/>
        <v>0</v>
      </c>
      <c r="AM12" s="94">
        <f t="shared" si="5"/>
        <v>0</v>
      </c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</row>
    <row r="13" spans="2:70" ht="21" customHeight="1" x14ac:dyDescent="0.25">
      <c r="B13" s="95">
        <f>DATEVALUE("01.9."&amp;$B$2)</f>
        <v>41882</v>
      </c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9"/>
      <c r="AH13" s="94">
        <f t="shared" si="0"/>
        <v>0</v>
      </c>
      <c r="AI13" s="94">
        <f t="shared" si="1"/>
        <v>0</v>
      </c>
      <c r="AJ13" s="94">
        <f t="shared" si="2"/>
        <v>0</v>
      </c>
      <c r="AK13" s="94">
        <f t="shared" si="3"/>
        <v>0</v>
      </c>
      <c r="AL13" s="94">
        <f t="shared" si="4"/>
        <v>0</v>
      </c>
      <c r="AM13" s="94">
        <f t="shared" si="5"/>
        <v>0</v>
      </c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</row>
    <row r="14" spans="2:70" ht="21" customHeight="1" x14ac:dyDescent="0.25">
      <c r="B14" s="95">
        <f>DATEVALUE("01.10."&amp;$B$2)</f>
        <v>41912</v>
      </c>
      <c r="C14" s="9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100"/>
      <c r="AH14" s="94">
        <f t="shared" si="0"/>
        <v>0</v>
      </c>
      <c r="AI14" s="94">
        <f t="shared" si="1"/>
        <v>0</v>
      </c>
      <c r="AJ14" s="94">
        <f t="shared" si="2"/>
        <v>0</v>
      </c>
      <c r="AK14" s="94">
        <f t="shared" si="3"/>
        <v>0</v>
      </c>
      <c r="AL14" s="94">
        <f t="shared" si="4"/>
        <v>0</v>
      </c>
      <c r="AM14" s="94">
        <f t="shared" si="5"/>
        <v>0</v>
      </c>
      <c r="AN14" s="34"/>
      <c r="AO14" s="34"/>
      <c r="AP14" s="34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</row>
    <row r="15" spans="2:70" ht="21" customHeight="1" x14ac:dyDescent="0.3">
      <c r="B15" s="95">
        <f>DATEVALUE("01.11."&amp;$B$2)</f>
        <v>41943</v>
      </c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9"/>
      <c r="AH15" s="137">
        <f t="shared" si="0"/>
        <v>0</v>
      </c>
      <c r="AI15" s="137">
        <f t="shared" si="1"/>
        <v>0</v>
      </c>
      <c r="AJ15" s="137">
        <f t="shared" si="2"/>
        <v>0</v>
      </c>
      <c r="AK15" s="137">
        <f t="shared" si="3"/>
        <v>0</v>
      </c>
      <c r="AL15" s="137">
        <f t="shared" si="4"/>
        <v>0</v>
      </c>
      <c r="AM15" s="137">
        <f t="shared" si="5"/>
        <v>0</v>
      </c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</row>
    <row r="16" spans="2:70" ht="21" customHeight="1" thickBot="1" x14ac:dyDescent="0.3">
      <c r="B16" s="103">
        <f>DATEVALUE("01.12."&amp;$B$2)</f>
        <v>41973</v>
      </c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6"/>
      <c r="AH16" s="138">
        <f t="shared" si="0"/>
        <v>0</v>
      </c>
      <c r="AI16" s="138">
        <f t="shared" si="1"/>
        <v>0</v>
      </c>
      <c r="AJ16" s="138">
        <f t="shared" si="2"/>
        <v>0</v>
      </c>
      <c r="AK16" s="138">
        <f t="shared" si="3"/>
        <v>0</v>
      </c>
      <c r="AL16" s="138">
        <f t="shared" si="4"/>
        <v>0</v>
      </c>
      <c r="AM16" s="138">
        <f t="shared" si="5"/>
        <v>0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</row>
    <row r="17" spans="2:70" ht="21" customHeight="1" thickBot="1" x14ac:dyDescent="0.3">
      <c r="B17" s="107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72" t="s">
        <v>73</v>
      </c>
      <c r="AD17" s="172"/>
      <c r="AE17" s="172"/>
      <c r="AF17" s="172"/>
      <c r="AG17" s="173"/>
      <c r="AH17" s="109">
        <f>SUM(AH5:AH16)</f>
        <v>0</v>
      </c>
      <c r="AI17" s="109">
        <f t="shared" ref="AI17:AJ17" si="6">SUM(AI5:AI16)</f>
        <v>0</v>
      </c>
      <c r="AJ17" s="109">
        <f t="shared" si="6"/>
        <v>0</v>
      </c>
      <c r="AK17" s="109">
        <f t="shared" ref="AK17:AM17" si="7">SUM(AK5:AK16)</f>
        <v>0</v>
      </c>
      <c r="AL17" s="109">
        <f t="shared" si="7"/>
        <v>0</v>
      </c>
      <c r="AM17" s="109">
        <f t="shared" si="7"/>
        <v>0</v>
      </c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</row>
    <row r="18" spans="2:70" ht="20.25" customHeight="1" x14ac:dyDescent="0.3">
      <c r="B18" s="23"/>
      <c r="C18" s="176" t="s">
        <v>55</v>
      </c>
      <c r="D18" s="176"/>
      <c r="E18" s="176"/>
      <c r="F18" s="176"/>
      <c r="G18" s="176"/>
      <c r="H18" s="176"/>
      <c r="I18" s="176"/>
      <c r="J18" s="175">
        <v>30</v>
      </c>
      <c r="K18" s="175"/>
      <c r="L18" s="24"/>
      <c r="M18" s="24"/>
      <c r="N18" s="24"/>
      <c r="O18" s="24"/>
      <c r="P18" s="24"/>
      <c r="Q18" s="24"/>
      <c r="R18" s="24"/>
      <c r="S18" s="171" t="s">
        <v>56</v>
      </c>
      <c r="T18" s="171"/>
      <c r="U18" s="171"/>
      <c r="V18" s="171"/>
      <c r="W18" s="171" t="s">
        <v>57</v>
      </c>
      <c r="X18" s="171"/>
      <c r="Y18" s="171"/>
      <c r="Z18" s="171" t="s">
        <v>58</v>
      </c>
      <c r="AA18" s="171"/>
      <c r="AB18" s="171"/>
      <c r="AC18" s="24"/>
      <c r="AD18" s="24"/>
      <c r="AE18" s="24"/>
      <c r="AF18" s="24"/>
      <c r="AG18" s="24"/>
      <c r="AH18" s="23"/>
      <c r="AI18" s="23"/>
      <c r="AJ18" s="23"/>
      <c r="AM18" s="30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</row>
    <row r="19" spans="2:70" ht="20.25" customHeight="1" x14ac:dyDescent="0.3">
      <c r="B19" s="23"/>
      <c r="C19" s="174" t="s">
        <v>59</v>
      </c>
      <c r="D19" s="174"/>
      <c r="E19" s="174"/>
      <c r="F19" s="174"/>
      <c r="G19" s="174"/>
      <c r="H19" s="174"/>
      <c r="I19" s="174"/>
      <c r="J19" s="175">
        <v>0</v>
      </c>
      <c r="K19" s="175"/>
      <c r="L19" s="24"/>
      <c r="M19" s="24"/>
      <c r="N19" s="24"/>
      <c r="O19" s="24"/>
      <c r="P19" s="24"/>
      <c r="Q19" s="24"/>
      <c r="R19" s="24"/>
      <c r="S19" s="164" t="s">
        <v>47</v>
      </c>
      <c r="T19" s="164"/>
      <c r="U19" s="164"/>
      <c r="V19" s="164"/>
      <c r="W19" s="180" t="s">
        <v>51</v>
      </c>
      <c r="X19" s="180"/>
      <c r="Y19" s="180"/>
      <c r="Z19" s="181" t="s">
        <v>50</v>
      </c>
      <c r="AA19" s="181"/>
      <c r="AB19" s="181"/>
      <c r="AC19" s="24"/>
      <c r="AD19" s="24"/>
      <c r="AE19" s="24"/>
      <c r="AF19" s="24"/>
      <c r="AG19" s="24"/>
      <c r="AH19" s="23"/>
      <c r="AI19" s="23"/>
      <c r="AJ19" s="23"/>
      <c r="AM19" s="30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</row>
    <row r="20" spans="2:70" ht="20.25" customHeight="1" x14ac:dyDescent="0.3">
      <c r="B20" s="23"/>
      <c r="C20" s="174" t="s">
        <v>60</v>
      </c>
      <c r="D20" s="174"/>
      <c r="E20" s="174"/>
      <c r="F20" s="174"/>
      <c r="G20" s="174"/>
      <c r="H20" s="174"/>
      <c r="I20" s="174"/>
      <c r="J20" s="174">
        <f>J18+J19</f>
        <v>30</v>
      </c>
      <c r="K20" s="174"/>
      <c r="L20" s="23"/>
      <c r="M20" s="23"/>
      <c r="N20" s="23"/>
      <c r="O20" s="23"/>
      <c r="P20" s="23"/>
      <c r="Q20" s="23"/>
      <c r="R20" s="23"/>
      <c r="S20" s="164" t="s">
        <v>61</v>
      </c>
      <c r="T20" s="164"/>
      <c r="U20" s="164"/>
      <c r="V20" s="164"/>
      <c r="W20" s="177" t="s">
        <v>53</v>
      </c>
      <c r="X20" s="177"/>
      <c r="Y20" s="177"/>
      <c r="Z20" s="178" t="s">
        <v>54</v>
      </c>
      <c r="AA20" s="178"/>
      <c r="AB20" s="178"/>
      <c r="AC20" s="24"/>
      <c r="AD20" s="24"/>
      <c r="AE20" s="24"/>
      <c r="AF20" s="24"/>
      <c r="AG20" s="24"/>
      <c r="AH20" s="23"/>
      <c r="AI20" s="23"/>
      <c r="AJ20" s="23"/>
      <c r="AM20" s="30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</row>
    <row r="21" spans="2:70" ht="20.25" customHeight="1" thickBot="1" x14ac:dyDescent="0.35">
      <c r="B21" s="23"/>
      <c r="C21" s="186" t="s">
        <v>62</v>
      </c>
      <c r="D21" s="186"/>
      <c r="E21" s="186"/>
      <c r="F21" s="186"/>
      <c r="G21" s="186"/>
      <c r="H21" s="186"/>
      <c r="I21" s="186"/>
      <c r="J21" s="186">
        <f>SUM(AH5:AH16)</f>
        <v>0</v>
      </c>
      <c r="K21" s="186"/>
      <c r="L21" s="26"/>
      <c r="M21" s="26"/>
      <c r="N21" s="23"/>
      <c r="O21" s="23"/>
      <c r="P21" s="23"/>
      <c r="Q21" s="23"/>
      <c r="R21" s="23"/>
      <c r="S21" s="164" t="s">
        <v>68</v>
      </c>
      <c r="T21" s="164"/>
      <c r="U21" s="164"/>
      <c r="V21" s="164"/>
      <c r="W21" s="179" t="s">
        <v>52</v>
      </c>
      <c r="X21" s="179"/>
      <c r="Y21" s="179"/>
      <c r="Z21" s="182" t="s">
        <v>63</v>
      </c>
      <c r="AA21" s="182"/>
      <c r="AB21" s="182"/>
      <c r="AC21" s="24"/>
      <c r="AD21" s="24"/>
      <c r="AE21" s="24"/>
      <c r="AF21" s="24"/>
      <c r="AG21" s="24"/>
      <c r="AH21" s="23"/>
      <c r="AI21" s="23"/>
      <c r="AJ21" s="23"/>
      <c r="AM21" s="30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</row>
    <row r="22" spans="2:70" ht="20.25" customHeight="1" thickTop="1" x14ac:dyDescent="0.3">
      <c r="B22" s="23"/>
      <c r="C22" s="183" t="s">
        <v>64</v>
      </c>
      <c r="D22" s="183"/>
      <c r="E22" s="183"/>
      <c r="F22" s="183"/>
      <c r="G22" s="183"/>
      <c r="H22" s="183"/>
      <c r="I22" s="183"/>
      <c r="J22" s="184">
        <f>J20-J21</f>
        <v>30</v>
      </c>
      <c r="K22" s="184"/>
      <c r="L22" s="185" t="s">
        <v>65</v>
      </c>
      <c r="M22" s="185"/>
      <c r="N22" s="27"/>
      <c r="O22" s="23"/>
      <c r="P22" s="23"/>
      <c r="Q22" s="23"/>
      <c r="R22" s="23"/>
      <c r="S22" s="164" t="s">
        <v>87</v>
      </c>
      <c r="T22" s="164"/>
      <c r="U22" s="164"/>
      <c r="V22" s="164"/>
      <c r="W22" s="167" t="s">
        <v>88</v>
      </c>
      <c r="X22" s="167"/>
      <c r="Y22" s="167"/>
      <c r="Z22" s="168" t="s">
        <v>89</v>
      </c>
      <c r="AA22" s="168"/>
      <c r="AB22" s="168"/>
      <c r="AC22" s="23"/>
      <c r="AD22" s="23"/>
      <c r="AE22" s="23"/>
      <c r="AF22" s="23"/>
      <c r="AG22" s="23"/>
      <c r="AH22" s="23"/>
      <c r="AI22" s="23"/>
      <c r="AJ22" s="23"/>
      <c r="AM22" s="30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</row>
    <row r="23" spans="2:70" s="23" customFormat="1" ht="20.25" customHeight="1" x14ac:dyDescent="0.25">
      <c r="C23" s="25"/>
      <c r="D23" s="25"/>
      <c r="E23" s="24"/>
      <c r="F23" s="24"/>
      <c r="G23" s="24"/>
      <c r="H23" s="24"/>
      <c r="I23" s="24"/>
      <c r="J23" s="24"/>
      <c r="K23" s="25"/>
      <c r="L23" s="25"/>
      <c r="M23" s="25"/>
      <c r="N23" s="25"/>
      <c r="O23" s="25"/>
      <c r="P23" s="25"/>
      <c r="Q23" s="25"/>
      <c r="R23" s="25"/>
      <c r="S23" s="164" t="s">
        <v>78</v>
      </c>
      <c r="T23" s="164"/>
      <c r="U23" s="164"/>
      <c r="V23" s="164"/>
      <c r="W23" s="169" t="s">
        <v>79</v>
      </c>
      <c r="X23" s="169"/>
      <c r="Y23" s="169"/>
      <c r="Z23" s="170" t="s">
        <v>80</v>
      </c>
      <c r="AA23" s="170"/>
      <c r="AB23" s="170"/>
      <c r="AC23" s="25"/>
      <c r="AD23" s="25"/>
      <c r="AE23" s="25"/>
      <c r="AF23" s="25"/>
      <c r="AG23" s="25"/>
      <c r="AM23" s="29"/>
    </row>
    <row r="24" spans="2:70" s="23" customFormat="1" ht="20.25" customHeight="1" x14ac:dyDescent="0.25">
      <c r="S24" s="164" t="s">
        <v>75</v>
      </c>
      <c r="T24" s="164"/>
      <c r="U24" s="164"/>
      <c r="V24" s="164"/>
      <c r="W24" s="165" t="s">
        <v>76</v>
      </c>
      <c r="X24" s="165"/>
      <c r="Y24" s="165"/>
      <c r="Z24" s="166" t="s">
        <v>77</v>
      </c>
      <c r="AA24" s="166"/>
      <c r="AB24" s="166"/>
      <c r="AM24" s="29"/>
    </row>
    <row r="25" spans="2:70" s="23" customFormat="1" ht="20.25" customHeight="1" x14ac:dyDescent="0.25">
      <c r="AM25" s="29"/>
    </row>
    <row r="26" spans="2:70" s="23" customFormat="1" ht="20.25" customHeight="1" x14ac:dyDescent="0.25">
      <c r="AM26" s="29"/>
    </row>
    <row r="27" spans="2:70" s="23" customFormat="1" ht="20.25" customHeight="1" x14ac:dyDescent="0.25">
      <c r="AM27" s="29"/>
    </row>
    <row r="28" spans="2:70" s="23" customFormat="1" ht="20.25" customHeight="1" x14ac:dyDescent="0.25">
      <c r="AM28" s="29"/>
    </row>
    <row r="29" spans="2:70" s="23" customFormat="1" ht="20.25" customHeight="1" x14ac:dyDescent="0.25">
      <c r="AM29" s="29"/>
    </row>
    <row r="30" spans="2:70" s="23" customFormat="1" ht="20.25" customHeight="1" x14ac:dyDescent="0.25">
      <c r="AM30" s="29"/>
    </row>
    <row r="31" spans="2:70" s="23" customFormat="1" ht="20.25" customHeight="1" x14ac:dyDescent="0.25">
      <c r="AM31" s="29"/>
    </row>
    <row r="32" spans="2:70" s="23" customFormat="1" ht="20.25" customHeight="1" x14ac:dyDescent="0.25">
      <c r="AM32" s="29"/>
    </row>
    <row r="33" spans="39:39" s="23" customFormat="1" ht="20.25" customHeight="1" x14ac:dyDescent="0.25">
      <c r="AM33" s="29"/>
    </row>
    <row r="34" spans="39:39" s="23" customFormat="1" ht="20.25" customHeight="1" x14ac:dyDescent="0.25">
      <c r="AM34" s="29"/>
    </row>
    <row r="35" spans="39:39" s="23" customFormat="1" ht="20.25" customHeight="1" x14ac:dyDescent="0.25">
      <c r="AM35" s="29"/>
    </row>
    <row r="36" spans="39:39" s="23" customFormat="1" ht="20.25" customHeight="1" x14ac:dyDescent="0.25">
      <c r="AM36" s="29"/>
    </row>
    <row r="37" spans="39:39" s="23" customFormat="1" ht="20.25" customHeight="1" x14ac:dyDescent="0.25">
      <c r="AM37" s="29"/>
    </row>
    <row r="38" spans="39:39" s="23" customFormat="1" ht="20.25" customHeight="1" x14ac:dyDescent="0.25">
      <c r="AM38" s="29"/>
    </row>
    <row r="39" spans="39:39" s="23" customFormat="1" ht="20.25" customHeight="1" x14ac:dyDescent="0.25">
      <c r="AM39" s="29"/>
    </row>
    <row r="40" spans="39:39" s="23" customFormat="1" ht="20.25" customHeight="1" x14ac:dyDescent="0.25">
      <c r="AM40" s="29"/>
    </row>
    <row r="41" spans="39:39" s="23" customFormat="1" ht="20.25" customHeight="1" x14ac:dyDescent="0.25">
      <c r="AM41" s="29"/>
    </row>
    <row r="42" spans="39:39" s="23" customFormat="1" ht="20.25" customHeight="1" x14ac:dyDescent="0.25">
      <c r="AM42" s="29"/>
    </row>
    <row r="43" spans="39:39" s="23" customFormat="1" ht="20.25" customHeight="1" x14ac:dyDescent="0.25">
      <c r="AM43" s="29"/>
    </row>
    <row r="44" spans="39:39" s="23" customFormat="1" ht="20.25" customHeight="1" x14ac:dyDescent="0.25">
      <c r="AM44" s="29"/>
    </row>
    <row r="45" spans="39:39" s="23" customFormat="1" ht="20.25" customHeight="1" x14ac:dyDescent="0.25">
      <c r="AM45" s="29"/>
    </row>
    <row r="46" spans="39:39" s="23" customFormat="1" ht="20.25" customHeight="1" x14ac:dyDescent="0.25">
      <c r="AM46" s="29"/>
    </row>
    <row r="47" spans="39:39" s="23" customFormat="1" ht="20.25" customHeight="1" x14ac:dyDescent="0.25">
      <c r="AM47" s="29"/>
    </row>
    <row r="48" spans="39:39" s="23" customFormat="1" ht="20.25" customHeight="1" x14ac:dyDescent="0.25">
      <c r="AM48" s="29"/>
    </row>
    <row r="49" spans="39:39" s="23" customFormat="1" ht="20.25" customHeight="1" x14ac:dyDescent="0.25">
      <c r="AM49" s="29"/>
    </row>
    <row r="50" spans="39:39" s="23" customFormat="1" ht="20.25" customHeight="1" x14ac:dyDescent="0.25">
      <c r="AM50" s="29"/>
    </row>
    <row r="51" spans="39:39" s="23" customFormat="1" ht="20.25" customHeight="1" x14ac:dyDescent="0.25">
      <c r="AM51" s="29"/>
    </row>
    <row r="52" spans="39:39" s="23" customFormat="1" ht="20.25" customHeight="1" x14ac:dyDescent="0.25">
      <c r="AM52" s="29"/>
    </row>
    <row r="53" spans="39:39" s="23" customFormat="1" ht="20.25" customHeight="1" x14ac:dyDescent="0.25">
      <c r="AM53" s="29"/>
    </row>
    <row r="54" spans="39:39" s="23" customFormat="1" ht="20.25" customHeight="1" x14ac:dyDescent="0.25">
      <c r="AM54" s="29"/>
    </row>
    <row r="55" spans="39:39" s="23" customFormat="1" ht="20.25" customHeight="1" x14ac:dyDescent="0.25">
      <c r="AM55" s="29"/>
    </row>
    <row r="56" spans="39:39" s="23" customFormat="1" ht="20.25" customHeight="1" x14ac:dyDescent="0.25">
      <c r="AM56" s="29"/>
    </row>
    <row r="57" spans="39:39" s="23" customFormat="1" ht="20.25" customHeight="1" x14ac:dyDescent="0.25">
      <c r="AM57" s="29"/>
    </row>
    <row r="58" spans="39:39" s="23" customFormat="1" ht="20.25" customHeight="1" x14ac:dyDescent="0.25">
      <c r="AM58" s="29"/>
    </row>
    <row r="59" spans="39:39" s="23" customFormat="1" ht="20.25" customHeight="1" x14ac:dyDescent="0.25">
      <c r="AM59" s="29"/>
    </row>
    <row r="60" spans="39:39" s="23" customFormat="1" ht="20.25" customHeight="1" x14ac:dyDescent="0.25">
      <c r="AM60" s="29"/>
    </row>
    <row r="61" spans="39:39" s="23" customFormat="1" ht="20.25" customHeight="1" x14ac:dyDescent="0.25">
      <c r="AM61" s="29"/>
    </row>
    <row r="62" spans="39:39" s="23" customFormat="1" ht="20.25" customHeight="1" x14ac:dyDescent="0.25">
      <c r="AM62" s="29"/>
    </row>
    <row r="63" spans="39:39" s="23" customFormat="1" ht="20.25" customHeight="1" x14ac:dyDescent="0.25">
      <c r="AM63" s="29"/>
    </row>
    <row r="64" spans="39:39" s="23" customFormat="1" ht="20.25" customHeight="1" x14ac:dyDescent="0.25">
      <c r="AM64" s="29"/>
    </row>
    <row r="65" spans="39:39" s="23" customFormat="1" ht="20.25" customHeight="1" x14ac:dyDescent="0.25">
      <c r="AM65" s="29"/>
    </row>
    <row r="66" spans="39:39" s="23" customFormat="1" ht="20.25" customHeight="1" x14ac:dyDescent="0.25">
      <c r="AM66" s="29"/>
    </row>
    <row r="67" spans="39:39" s="23" customFormat="1" ht="20.25" customHeight="1" x14ac:dyDescent="0.25">
      <c r="AM67" s="29"/>
    </row>
    <row r="68" spans="39:39" s="23" customFormat="1" ht="20.25" customHeight="1" x14ac:dyDescent="0.25">
      <c r="AM68" s="29"/>
    </row>
    <row r="69" spans="39:39" s="23" customFormat="1" ht="20.25" customHeight="1" x14ac:dyDescent="0.25">
      <c r="AM69" s="29"/>
    </row>
    <row r="70" spans="39:39" s="23" customFormat="1" ht="20.25" customHeight="1" x14ac:dyDescent="0.25">
      <c r="AM70" s="29"/>
    </row>
    <row r="71" spans="39:39" s="23" customFormat="1" ht="20.25" customHeight="1" x14ac:dyDescent="0.25">
      <c r="AM71" s="29"/>
    </row>
    <row r="72" spans="39:39" s="23" customFormat="1" ht="20.25" customHeight="1" x14ac:dyDescent="0.25">
      <c r="AM72" s="29"/>
    </row>
    <row r="73" spans="39:39" s="23" customFormat="1" ht="20.25" customHeight="1" x14ac:dyDescent="0.25">
      <c r="AM73" s="29"/>
    </row>
    <row r="74" spans="39:39" s="23" customFormat="1" ht="20.25" customHeight="1" x14ac:dyDescent="0.25">
      <c r="AM74" s="29"/>
    </row>
    <row r="75" spans="39:39" s="23" customFormat="1" ht="20.25" customHeight="1" x14ac:dyDescent="0.25">
      <c r="AM75" s="29"/>
    </row>
    <row r="76" spans="39:39" s="23" customFormat="1" ht="20.25" customHeight="1" x14ac:dyDescent="0.25">
      <c r="AM76" s="29"/>
    </row>
    <row r="77" spans="39:39" s="23" customFormat="1" ht="20.25" customHeight="1" x14ac:dyDescent="0.25">
      <c r="AM77" s="29"/>
    </row>
    <row r="78" spans="39:39" s="23" customFormat="1" ht="20.25" customHeight="1" x14ac:dyDescent="0.25">
      <c r="AM78" s="29"/>
    </row>
    <row r="79" spans="39:39" s="23" customFormat="1" ht="20.25" customHeight="1" x14ac:dyDescent="0.25">
      <c r="AM79" s="29"/>
    </row>
    <row r="80" spans="39:39" s="23" customFormat="1" ht="20.25" customHeight="1" x14ac:dyDescent="0.25">
      <c r="AM80" s="29"/>
    </row>
    <row r="81" spans="39:39" s="23" customFormat="1" ht="20.25" customHeight="1" x14ac:dyDescent="0.25">
      <c r="AM81" s="29"/>
    </row>
    <row r="82" spans="39:39" s="23" customFormat="1" ht="20.25" customHeight="1" x14ac:dyDescent="0.25">
      <c r="AM82" s="29"/>
    </row>
    <row r="83" spans="39:39" s="23" customFormat="1" ht="20.25" customHeight="1" x14ac:dyDescent="0.25">
      <c r="AM83" s="29"/>
    </row>
    <row r="84" spans="39:39" s="23" customFormat="1" ht="20.25" customHeight="1" x14ac:dyDescent="0.25">
      <c r="AM84" s="29"/>
    </row>
    <row r="85" spans="39:39" s="23" customFormat="1" ht="20.25" customHeight="1" x14ac:dyDescent="0.25">
      <c r="AM85" s="29"/>
    </row>
    <row r="86" spans="39:39" s="23" customFormat="1" ht="20.25" customHeight="1" x14ac:dyDescent="0.25">
      <c r="AM86" s="29"/>
    </row>
    <row r="87" spans="39:39" s="23" customFormat="1" ht="20.25" customHeight="1" x14ac:dyDescent="0.25">
      <c r="AM87" s="29"/>
    </row>
    <row r="88" spans="39:39" s="23" customFormat="1" ht="20.25" customHeight="1" x14ac:dyDescent="0.25">
      <c r="AM88" s="29"/>
    </row>
    <row r="89" spans="39:39" s="23" customFormat="1" ht="20.25" customHeight="1" x14ac:dyDescent="0.25">
      <c r="AM89" s="29"/>
    </row>
    <row r="90" spans="39:39" s="23" customFormat="1" ht="20.25" customHeight="1" x14ac:dyDescent="0.25">
      <c r="AM90" s="29"/>
    </row>
    <row r="91" spans="39:39" s="23" customFormat="1" ht="20.25" customHeight="1" x14ac:dyDescent="0.25">
      <c r="AM91" s="29"/>
    </row>
    <row r="92" spans="39:39" s="23" customFormat="1" ht="20.25" customHeight="1" x14ac:dyDescent="0.25">
      <c r="AM92" s="29"/>
    </row>
    <row r="93" spans="39:39" s="23" customFormat="1" ht="20.25" customHeight="1" x14ac:dyDescent="0.25">
      <c r="AM93" s="29"/>
    </row>
    <row r="94" spans="39:39" s="23" customFormat="1" ht="20.25" customHeight="1" x14ac:dyDescent="0.25">
      <c r="AM94" s="29"/>
    </row>
    <row r="95" spans="39:39" s="23" customFormat="1" ht="20.25" customHeight="1" x14ac:dyDescent="0.25">
      <c r="AM95" s="29"/>
    </row>
    <row r="96" spans="39:39" s="23" customFormat="1" ht="20.25" customHeight="1" x14ac:dyDescent="0.25">
      <c r="AM96" s="29"/>
    </row>
    <row r="97" spans="39:39" s="23" customFormat="1" ht="20.25" customHeight="1" x14ac:dyDescent="0.25">
      <c r="AM97" s="29"/>
    </row>
    <row r="98" spans="39:39" s="23" customFormat="1" ht="20.25" customHeight="1" x14ac:dyDescent="0.25">
      <c r="AM98" s="29"/>
    </row>
    <row r="99" spans="39:39" s="23" customFormat="1" ht="20.25" customHeight="1" x14ac:dyDescent="0.25">
      <c r="AM99" s="29"/>
    </row>
    <row r="100" spans="39:39" s="23" customFormat="1" ht="20.25" customHeight="1" x14ac:dyDescent="0.25">
      <c r="AM100" s="29"/>
    </row>
    <row r="101" spans="39:39" s="23" customFormat="1" ht="20.25" customHeight="1" x14ac:dyDescent="0.25">
      <c r="AM101" s="29"/>
    </row>
    <row r="102" spans="39:39" s="23" customFormat="1" ht="20.25" customHeight="1" x14ac:dyDescent="0.25">
      <c r="AM102" s="29"/>
    </row>
    <row r="103" spans="39:39" s="23" customFormat="1" ht="20.25" customHeight="1" x14ac:dyDescent="0.25">
      <c r="AM103" s="29"/>
    </row>
    <row r="104" spans="39:39" s="23" customFormat="1" ht="20.25" customHeight="1" x14ac:dyDescent="0.25">
      <c r="AM104" s="29"/>
    </row>
    <row r="105" spans="39:39" s="23" customFormat="1" ht="20.25" customHeight="1" x14ac:dyDescent="0.25">
      <c r="AM105" s="29"/>
    </row>
    <row r="106" spans="39:39" s="23" customFormat="1" ht="20.25" customHeight="1" x14ac:dyDescent="0.25">
      <c r="AM106" s="29"/>
    </row>
    <row r="107" spans="39:39" s="23" customFormat="1" ht="20.25" customHeight="1" x14ac:dyDescent="0.25">
      <c r="AM107" s="29"/>
    </row>
    <row r="108" spans="39:39" s="23" customFormat="1" ht="20.25" customHeight="1" x14ac:dyDescent="0.25">
      <c r="AM108" s="29"/>
    </row>
    <row r="109" spans="39:39" s="23" customFormat="1" ht="20.25" customHeight="1" x14ac:dyDescent="0.25">
      <c r="AM109" s="29"/>
    </row>
    <row r="110" spans="39:39" s="23" customFormat="1" ht="20.25" customHeight="1" x14ac:dyDescent="0.25">
      <c r="AM110" s="29"/>
    </row>
    <row r="111" spans="39:39" s="23" customFormat="1" ht="20.25" customHeight="1" x14ac:dyDescent="0.25">
      <c r="AM111" s="29"/>
    </row>
    <row r="112" spans="39:39" s="23" customFormat="1" ht="20.25" customHeight="1" x14ac:dyDescent="0.25">
      <c r="AM112" s="29"/>
    </row>
    <row r="113" spans="39:39" s="23" customFormat="1" ht="20.25" customHeight="1" x14ac:dyDescent="0.25">
      <c r="AM113" s="29"/>
    </row>
    <row r="114" spans="39:39" s="23" customFormat="1" ht="20.25" customHeight="1" x14ac:dyDescent="0.25">
      <c r="AM114" s="29"/>
    </row>
    <row r="115" spans="39:39" s="23" customFormat="1" ht="20.25" customHeight="1" x14ac:dyDescent="0.25">
      <c r="AM115" s="29"/>
    </row>
    <row r="116" spans="39:39" s="23" customFormat="1" ht="20.25" customHeight="1" x14ac:dyDescent="0.25">
      <c r="AM116" s="29"/>
    </row>
    <row r="117" spans="39:39" s="23" customFormat="1" ht="20.25" customHeight="1" x14ac:dyDescent="0.25">
      <c r="AM117" s="29"/>
    </row>
    <row r="118" spans="39:39" s="23" customFormat="1" ht="20.25" customHeight="1" x14ac:dyDescent="0.25">
      <c r="AM118" s="29"/>
    </row>
    <row r="119" spans="39:39" s="23" customFormat="1" ht="20.25" customHeight="1" x14ac:dyDescent="0.25">
      <c r="AM119" s="29"/>
    </row>
    <row r="120" spans="39:39" s="23" customFormat="1" ht="20.25" customHeight="1" x14ac:dyDescent="0.25">
      <c r="AM120" s="29"/>
    </row>
    <row r="121" spans="39:39" s="23" customFormat="1" ht="20.25" customHeight="1" x14ac:dyDescent="0.25">
      <c r="AM121" s="29"/>
    </row>
    <row r="122" spans="39:39" s="23" customFormat="1" ht="20.25" customHeight="1" x14ac:dyDescent="0.25">
      <c r="AM122" s="29"/>
    </row>
    <row r="123" spans="39:39" s="23" customFormat="1" ht="20.25" customHeight="1" x14ac:dyDescent="0.25">
      <c r="AM123" s="29"/>
    </row>
    <row r="124" spans="39:39" s="23" customFormat="1" ht="20.25" customHeight="1" x14ac:dyDescent="0.25">
      <c r="AM124" s="29"/>
    </row>
    <row r="125" spans="39:39" s="23" customFormat="1" ht="20.25" customHeight="1" x14ac:dyDescent="0.25">
      <c r="AM125" s="29"/>
    </row>
    <row r="126" spans="39:39" s="23" customFormat="1" ht="20.25" customHeight="1" x14ac:dyDescent="0.25">
      <c r="AM126" s="29"/>
    </row>
    <row r="127" spans="39:39" s="23" customFormat="1" ht="20.25" customHeight="1" x14ac:dyDescent="0.25">
      <c r="AM127" s="29"/>
    </row>
    <row r="128" spans="39:39" s="23" customFormat="1" ht="20.25" customHeight="1" x14ac:dyDescent="0.25">
      <c r="AM128" s="29"/>
    </row>
    <row r="129" spans="39:39" s="23" customFormat="1" ht="20.25" customHeight="1" x14ac:dyDescent="0.25">
      <c r="AM129" s="29"/>
    </row>
    <row r="130" spans="39:39" s="23" customFormat="1" ht="20.25" customHeight="1" x14ac:dyDescent="0.25">
      <c r="AM130" s="29"/>
    </row>
    <row r="131" spans="39:39" s="23" customFormat="1" ht="20.25" customHeight="1" x14ac:dyDescent="0.25">
      <c r="AM131" s="29"/>
    </row>
    <row r="132" spans="39:39" s="23" customFormat="1" ht="20.25" customHeight="1" x14ac:dyDescent="0.25">
      <c r="AM132" s="29"/>
    </row>
    <row r="133" spans="39:39" s="23" customFormat="1" ht="20.25" customHeight="1" x14ac:dyDescent="0.25">
      <c r="AM133" s="29"/>
    </row>
    <row r="134" spans="39:39" s="23" customFormat="1" ht="20.25" customHeight="1" x14ac:dyDescent="0.25">
      <c r="AM134" s="29"/>
    </row>
    <row r="135" spans="39:39" s="23" customFormat="1" ht="20.25" customHeight="1" x14ac:dyDescent="0.25">
      <c r="AM135" s="29"/>
    </row>
    <row r="136" spans="39:39" s="23" customFormat="1" ht="20.25" customHeight="1" x14ac:dyDescent="0.25">
      <c r="AM136" s="29"/>
    </row>
    <row r="137" spans="39:39" s="23" customFormat="1" ht="20.25" customHeight="1" x14ac:dyDescent="0.25">
      <c r="AM137" s="29"/>
    </row>
    <row r="138" spans="39:39" s="23" customFormat="1" ht="20.25" customHeight="1" x14ac:dyDescent="0.25">
      <c r="AM138" s="29"/>
    </row>
    <row r="139" spans="39:39" s="23" customFormat="1" ht="20.25" customHeight="1" x14ac:dyDescent="0.25">
      <c r="AM139" s="29"/>
    </row>
    <row r="140" spans="39:39" s="23" customFormat="1" ht="20.25" customHeight="1" x14ac:dyDescent="0.25">
      <c r="AM140" s="29"/>
    </row>
    <row r="141" spans="39:39" s="23" customFormat="1" ht="20.25" customHeight="1" x14ac:dyDescent="0.25">
      <c r="AM141" s="29"/>
    </row>
    <row r="142" spans="39:39" s="23" customFormat="1" ht="20.25" customHeight="1" x14ac:dyDescent="0.25">
      <c r="AM142" s="29"/>
    </row>
    <row r="143" spans="39:39" s="23" customFormat="1" ht="20.25" customHeight="1" x14ac:dyDescent="0.25">
      <c r="AM143" s="29"/>
    </row>
    <row r="144" spans="39:39" s="23" customFormat="1" ht="20.25" customHeight="1" x14ac:dyDescent="0.25">
      <c r="AM144" s="29"/>
    </row>
    <row r="145" spans="39:39" s="23" customFormat="1" ht="20.25" customHeight="1" x14ac:dyDescent="0.25">
      <c r="AM145" s="29"/>
    </row>
    <row r="146" spans="39:39" s="23" customFormat="1" ht="20.25" customHeight="1" x14ac:dyDescent="0.25">
      <c r="AM146" s="29"/>
    </row>
    <row r="147" spans="39:39" s="23" customFormat="1" ht="20.25" customHeight="1" x14ac:dyDescent="0.25">
      <c r="AM147" s="29"/>
    </row>
    <row r="148" spans="39:39" s="23" customFormat="1" ht="20.25" customHeight="1" x14ac:dyDescent="0.25">
      <c r="AM148" s="29"/>
    </row>
    <row r="149" spans="39:39" s="23" customFormat="1" ht="20.25" customHeight="1" x14ac:dyDescent="0.25">
      <c r="AM149" s="29"/>
    </row>
    <row r="150" spans="39:39" s="23" customFormat="1" ht="20.25" customHeight="1" x14ac:dyDescent="0.25">
      <c r="AM150" s="29"/>
    </row>
    <row r="151" spans="39:39" s="23" customFormat="1" ht="20.25" customHeight="1" x14ac:dyDescent="0.25">
      <c r="AM151" s="29"/>
    </row>
    <row r="152" spans="39:39" s="23" customFormat="1" ht="20.25" customHeight="1" x14ac:dyDescent="0.25">
      <c r="AM152" s="29"/>
    </row>
    <row r="153" spans="39:39" s="23" customFormat="1" ht="20.25" customHeight="1" x14ac:dyDescent="0.25">
      <c r="AM153" s="29"/>
    </row>
    <row r="154" spans="39:39" s="23" customFormat="1" ht="20.25" customHeight="1" x14ac:dyDescent="0.25">
      <c r="AM154" s="29"/>
    </row>
    <row r="155" spans="39:39" s="23" customFormat="1" ht="20.25" customHeight="1" x14ac:dyDescent="0.25">
      <c r="AM155" s="29"/>
    </row>
    <row r="156" spans="39:39" s="23" customFormat="1" ht="20.25" customHeight="1" x14ac:dyDescent="0.25">
      <c r="AM156" s="29"/>
    </row>
    <row r="157" spans="39:39" s="23" customFormat="1" ht="20.25" customHeight="1" x14ac:dyDescent="0.25">
      <c r="AM157" s="29"/>
    </row>
    <row r="158" spans="39:39" s="23" customFormat="1" ht="20.25" customHeight="1" x14ac:dyDescent="0.25">
      <c r="AM158" s="29"/>
    </row>
    <row r="159" spans="39:39" s="23" customFormat="1" ht="20.25" customHeight="1" x14ac:dyDescent="0.25">
      <c r="AM159" s="29"/>
    </row>
    <row r="160" spans="39:39" s="23" customFormat="1" ht="20.25" customHeight="1" x14ac:dyDescent="0.25">
      <c r="AM160" s="29"/>
    </row>
    <row r="161" spans="39:39" s="23" customFormat="1" ht="20.25" customHeight="1" x14ac:dyDescent="0.25">
      <c r="AM161" s="29"/>
    </row>
    <row r="162" spans="39:39" s="23" customFormat="1" ht="20.25" customHeight="1" x14ac:dyDescent="0.25">
      <c r="AM162" s="29"/>
    </row>
    <row r="163" spans="39:39" s="23" customFormat="1" ht="20.25" customHeight="1" x14ac:dyDescent="0.25">
      <c r="AM163" s="29"/>
    </row>
    <row r="164" spans="39:39" s="23" customFormat="1" ht="20.25" customHeight="1" x14ac:dyDescent="0.25">
      <c r="AM164" s="29"/>
    </row>
    <row r="165" spans="39:39" s="23" customFormat="1" ht="20.25" customHeight="1" x14ac:dyDescent="0.25">
      <c r="AM165" s="29"/>
    </row>
    <row r="166" spans="39:39" s="23" customFormat="1" ht="20.25" customHeight="1" x14ac:dyDescent="0.25">
      <c r="AM166" s="29"/>
    </row>
    <row r="167" spans="39:39" s="23" customFormat="1" ht="20.25" customHeight="1" x14ac:dyDescent="0.25">
      <c r="AM167" s="29"/>
    </row>
    <row r="168" spans="39:39" s="23" customFormat="1" ht="20.25" customHeight="1" x14ac:dyDescent="0.25">
      <c r="AM168" s="29"/>
    </row>
    <row r="169" spans="39:39" s="23" customFormat="1" ht="20.25" customHeight="1" x14ac:dyDescent="0.25">
      <c r="AM169" s="29"/>
    </row>
    <row r="170" spans="39:39" s="23" customFormat="1" ht="20.25" customHeight="1" x14ac:dyDescent="0.25">
      <c r="AM170" s="29"/>
    </row>
    <row r="171" spans="39:39" s="23" customFormat="1" ht="20.25" customHeight="1" x14ac:dyDescent="0.25">
      <c r="AM171" s="29"/>
    </row>
    <row r="172" spans="39:39" s="23" customFormat="1" ht="20.25" customHeight="1" x14ac:dyDescent="0.25">
      <c r="AM172" s="29"/>
    </row>
    <row r="173" spans="39:39" s="23" customFormat="1" ht="20.25" customHeight="1" x14ac:dyDescent="0.25">
      <c r="AM173" s="29"/>
    </row>
    <row r="174" spans="39:39" s="23" customFormat="1" ht="20.25" customHeight="1" x14ac:dyDescent="0.25">
      <c r="AM174" s="29"/>
    </row>
    <row r="175" spans="39:39" s="23" customFormat="1" ht="20.25" customHeight="1" x14ac:dyDescent="0.25">
      <c r="AM175" s="29"/>
    </row>
    <row r="176" spans="39:39" s="23" customFormat="1" ht="20.25" customHeight="1" x14ac:dyDescent="0.25">
      <c r="AM176" s="29"/>
    </row>
    <row r="177" spans="39:39" s="23" customFormat="1" ht="20.25" customHeight="1" x14ac:dyDescent="0.25">
      <c r="AM177" s="29"/>
    </row>
    <row r="178" spans="39:39" s="23" customFormat="1" ht="20.25" customHeight="1" x14ac:dyDescent="0.25">
      <c r="AM178" s="29"/>
    </row>
    <row r="179" spans="39:39" s="23" customFormat="1" ht="20.25" customHeight="1" x14ac:dyDescent="0.25">
      <c r="AM179" s="29"/>
    </row>
    <row r="180" spans="39:39" s="23" customFormat="1" ht="20.25" customHeight="1" x14ac:dyDescent="0.25">
      <c r="AM180" s="29"/>
    </row>
    <row r="181" spans="39:39" s="23" customFormat="1" ht="20.25" customHeight="1" x14ac:dyDescent="0.25">
      <c r="AM181" s="29"/>
    </row>
    <row r="182" spans="39:39" s="23" customFormat="1" ht="20.25" customHeight="1" x14ac:dyDescent="0.25">
      <c r="AM182" s="29"/>
    </row>
    <row r="183" spans="39:39" s="23" customFormat="1" ht="20.25" customHeight="1" x14ac:dyDescent="0.25">
      <c r="AM183" s="29"/>
    </row>
    <row r="184" spans="39:39" s="23" customFormat="1" ht="20.25" customHeight="1" x14ac:dyDescent="0.25">
      <c r="AM184" s="29"/>
    </row>
  </sheetData>
  <sheetProtection algorithmName="SHA-512" hashValue="7YjpmAb0gL0FpRLOpXOq0WpyU+MbhU5uyAVCcgSV55SKAJBi2fFdxltTl66NZHSeP87floN2opp017vHoSrGxQ==" saltValue="XGVLQXxB39VNc1jdT6qdnQ==" spinCount="100000" sheet="1" selectLockedCells="1"/>
  <mergeCells count="33">
    <mergeCell ref="C22:I22"/>
    <mergeCell ref="J22:K22"/>
    <mergeCell ref="L22:M22"/>
    <mergeCell ref="C21:I21"/>
    <mergeCell ref="J21:K21"/>
    <mergeCell ref="S21:V21"/>
    <mergeCell ref="W21:Y21"/>
    <mergeCell ref="W19:Y19"/>
    <mergeCell ref="Z19:AB19"/>
    <mergeCell ref="Z21:AB21"/>
    <mergeCell ref="C20:I20"/>
    <mergeCell ref="J20:K20"/>
    <mergeCell ref="S20:V20"/>
    <mergeCell ref="W20:Y20"/>
    <mergeCell ref="Z20:AB20"/>
    <mergeCell ref="W18:Y18"/>
    <mergeCell ref="Z18:AB18"/>
    <mergeCell ref="AC17:AG17"/>
    <mergeCell ref="C19:I19"/>
    <mergeCell ref="J19:K19"/>
    <mergeCell ref="C18:I18"/>
    <mergeCell ref="J18:K18"/>
    <mergeCell ref="S18:V18"/>
    <mergeCell ref="S19:V19"/>
    <mergeCell ref="S24:V24"/>
    <mergeCell ref="W24:Y24"/>
    <mergeCell ref="Z24:AB24"/>
    <mergeCell ref="S22:V22"/>
    <mergeCell ref="W22:Y22"/>
    <mergeCell ref="Z22:AB22"/>
    <mergeCell ref="S23:V23"/>
    <mergeCell ref="W23:Y23"/>
    <mergeCell ref="Z23:AB23"/>
  </mergeCells>
  <conditionalFormatting sqref="C5:AG16">
    <cfRule type="expression" dxfId="15" priority="1">
      <formula>EXACT($W$24,C5)</formula>
    </cfRule>
    <cfRule type="expression" dxfId="14" priority="2">
      <formula>EXACT($Z$24,C5)</formula>
    </cfRule>
    <cfRule type="expression" dxfId="13" priority="3">
      <formula>EXACT($Z$23,C5)</formula>
    </cfRule>
    <cfRule type="expression" dxfId="12" priority="4">
      <formula>EXACT($W$23,C5)</formula>
    </cfRule>
    <cfRule type="expression" dxfId="11" priority="5">
      <formula>EXACT($Z$22,C5)</formula>
    </cfRule>
    <cfRule type="expression" dxfId="10" priority="6">
      <formula>EXACT($W$22,C5)</formula>
    </cfRule>
    <cfRule type="expression" dxfId="9" priority="7">
      <formula>EXACT($Z$21,C5)</formula>
    </cfRule>
    <cfRule type="expression" dxfId="8" priority="8">
      <formula>EXACT($W$21,C5)</formula>
    </cfRule>
    <cfRule type="expression" dxfId="7" priority="9">
      <formula>EXACT($W$19,C5)</formula>
    </cfRule>
    <cfRule type="expression" dxfId="6" priority="10">
      <formula>EXACT($Z$19,C5)</formula>
    </cfRule>
    <cfRule type="expression" dxfId="5" priority="11">
      <formula>EXACT($Z$20,C5)</formula>
    </cfRule>
    <cfRule type="expression" dxfId="4" priority="12">
      <formula>EXACT($W$20,C5)</formula>
    </cfRule>
    <cfRule type="expression" dxfId="3" priority="14">
      <formula>WEEKDAY(DATEVALUE( C$4&amp;"."&amp;MONTH($B5)&amp;"."&amp;$B$2 ),2)&gt;5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4E4F734E-22C4-44F5-B705-382E5E4DEFAC}">
            <xm:f>MATCH(DATEVALUE( C$4&amp;"."&amp;MONTH($B5)&amp;"."&amp;$B$2 ),Feiertage!$B$2:$B$49,0)&gt;0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C5:AG16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39997558519241921"/>
  </sheetPr>
  <dimension ref="A1:G49"/>
  <sheetViews>
    <sheetView workbookViewId="0">
      <selection activeCell="C2" sqref="C2"/>
    </sheetView>
  </sheetViews>
  <sheetFormatPr baseColWidth="10" defaultRowHeight="15" x14ac:dyDescent="0.25"/>
  <cols>
    <col min="1" max="2" width="10.140625" customWidth="1"/>
    <col min="3" max="3" width="14.42578125" style="19" customWidth="1"/>
    <col min="4" max="4" width="28.7109375" style="19" customWidth="1"/>
    <col min="5" max="5" width="6.140625" customWidth="1"/>
    <col min="6" max="6" width="23.85546875" customWidth="1"/>
    <col min="7" max="7" width="8" customWidth="1"/>
    <col min="8" max="8" width="21" bestFit="1" customWidth="1"/>
  </cols>
  <sheetData>
    <row r="1" spans="1:7" ht="15.75" x14ac:dyDescent="0.3">
      <c r="A1" s="8" t="s">
        <v>4</v>
      </c>
      <c r="B1" s="9">
        <f>YEAR(Januar!B1)</f>
        <v>2018</v>
      </c>
      <c r="C1" s="10" t="s">
        <v>12</v>
      </c>
      <c r="D1" s="11"/>
    </row>
    <row r="2" spans="1:7" x14ac:dyDescent="0.25">
      <c r="A2" s="12">
        <f>DATEVALUE("01.01."&amp;$B$1)</f>
        <v>41639</v>
      </c>
      <c r="B2" s="13">
        <f>IF(C2="x",A2,0)</f>
        <v>41639</v>
      </c>
      <c r="C2" s="14" t="s">
        <v>13</v>
      </c>
      <c r="D2" s="15" t="s">
        <v>14</v>
      </c>
      <c r="F2" s="40" t="s">
        <v>69</v>
      </c>
      <c r="G2" s="78" t="s">
        <v>48</v>
      </c>
    </row>
    <row r="3" spans="1:7" x14ac:dyDescent="0.25">
      <c r="A3" s="12">
        <f>DATEVALUE("02.01."&amp;$B$1)</f>
        <v>41640</v>
      </c>
      <c r="B3" s="13">
        <f>IF(C3="x",A3,0)</f>
        <v>0</v>
      </c>
      <c r="C3" s="14"/>
      <c r="D3" s="15" t="s">
        <v>15</v>
      </c>
    </row>
    <row r="4" spans="1:7" x14ac:dyDescent="0.25">
      <c r="A4" s="12">
        <f>DATEVALUE("06.01."&amp;$B$1)</f>
        <v>41644</v>
      </c>
      <c r="B4" s="13">
        <f t="shared" ref="B4:B49" si="0">IF(C4="x",A4,0)</f>
        <v>41644</v>
      </c>
      <c r="C4" s="14" t="s">
        <v>13</v>
      </c>
      <c r="D4" s="15" t="s">
        <v>16</v>
      </c>
    </row>
    <row r="5" spans="1:7" x14ac:dyDescent="0.25">
      <c r="A5" s="12">
        <f>A8-48</f>
        <v>41681</v>
      </c>
      <c r="B5" s="13">
        <f t="shared" si="0"/>
        <v>0</v>
      </c>
      <c r="C5" s="14"/>
      <c r="D5" s="15" t="s">
        <v>17</v>
      </c>
    </row>
    <row r="6" spans="1:7" x14ac:dyDescent="0.25">
      <c r="A6" s="12">
        <f>A8-2</f>
        <v>41727</v>
      </c>
      <c r="B6" s="13">
        <f t="shared" si="0"/>
        <v>41727</v>
      </c>
      <c r="C6" s="14" t="s">
        <v>13</v>
      </c>
      <c r="D6" s="15" t="s">
        <v>18</v>
      </c>
    </row>
    <row r="7" spans="1:7" x14ac:dyDescent="0.25">
      <c r="A7" s="12">
        <f>A8-1</f>
        <v>41728</v>
      </c>
      <c r="B7" s="13">
        <f t="shared" si="0"/>
        <v>0</v>
      </c>
      <c r="C7" s="14"/>
      <c r="D7" s="15" t="s">
        <v>19</v>
      </c>
      <c r="F7" s="1"/>
    </row>
    <row r="8" spans="1:7" x14ac:dyDescent="0.25">
      <c r="A8" s="16">
        <f>DATE(B1,3,28)+MOD(24-MOD(B1,19)*10.63,29)-MOD(TRUNC(B1*5/4)+MOD(24-MOD(B1,19)*10.63,29)+1,7)</f>
        <v>41729</v>
      </c>
      <c r="B8" s="13">
        <f t="shared" si="0"/>
        <v>41729</v>
      </c>
      <c r="C8" s="14" t="s">
        <v>13</v>
      </c>
      <c r="D8" s="15" t="s">
        <v>20</v>
      </c>
      <c r="F8" s="1"/>
    </row>
    <row r="9" spans="1:7" x14ac:dyDescent="0.25">
      <c r="A9" s="16">
        <f>A8+1</f>
        <v>41730</v>
      </c>
      <c r="B9" s="13">
        <f t="shared" si="0"/>
        <v>41730</v>
      </c>
      <c r="C9" s="14" t="s">
        <v>13</v>
      </c>
      <c r="D9" s="15" t="s">
        <v>21</v>
      </c>
    </row>
    <row r="10" spans="1:7" x14ac:dyDescent="0.25">
      <c r="A10" s="12">
        <f>DATEVALUE("01.05."&amp;$B$1)</f>
        <v>41759</v>
      </c>
      <c r="B10" s="13">
        <f t="shared" si="0"/>
        <v>41759</v>
      </c>
      <c r="C10" s="14" t="s">
        <v>13</v>
      </c>
      <c r="D10" s="15" t="s">
        <v>22</v>
      </c>
    </row>
    <row r="11" spans="1:7" x14ac:dyDescent="0.25">
      <c r="A11" s="12">
        <f>A8+39</f>
        <v>41768</v>
      </c>
      <c r="B11" s="13">
        <f t="shared" si="0"/>
        <v>41768</v>
      </c>
      <c r="C11" s="14" t="s">
        <v>13</v>
      </c>
      <c r="D11" s="15" t="s">
        <v>23</v>
      </c>
    </row>
    <row r="12" spans="1:7" x14ac:dyDescent="0.25">
      <c r="A12" s="12">
        <f>DATE($B$1,5,1)+15-WEEKDAY(DATE($B$1,5,1))</f>
        <v>41771</v>
      </c>
      <c r="B12" s="13">
        <f t="shared" si="0"/>
        <v>0</v>
      </c>
      <c r="C12" s="14"/>
      <c r="D12" s="15" t="s">
        <v>24</v>
      </c>
    </row>
    <row r="13" spans="1:7" x14ac:dyDescent="0.25">
      <c r="A13" s="12">
        <f>A8+48</f>
        <v>41777</v>
      </c>
      <c r="B13" s="13">
        <f t="shared" si="0"/>
        <v>0</v>
      </c>
      <c r="C13" s="14"/>
      <c r="D13" s="15" t="s">
        <v>25</v>
      </c>
    </row>
    <row r="14" spans="1:7" x14ac:dyDescent="0.25">
      <c r="A14" s="12">
        <f>A8+49</f>
        <v>41778</v>
      </c>
      <c r="B14" s="13">
        <f t="shared" si="0"/>
        <v>41778</v>
      </c>
      <c r="C14" s="14" t="s">
        <v>13</v>
      </c>
      <c r="D14" s="15" t="s">
        <v>26</v>
      </c>
    </row>
    <row r="15" spans="1:7" x14ac:dyDescent="0.25">
      <c r="A15" s="12">
        <f>A8+50</f>
        <v>41779</v>
      </c>
      <c r="B15" s="13">
        <f t="shared" si="0"/>
        <v>41779</v>
      </c>
      <c r="C15" s="14" t="s">
        <v>13</v>
      </c>
      <c r="D15" s="15" t="s">
        <v>27</v>
      </c>
    </row>
    <row r="16" spans="1:7" x14ac:dyDescent="0.25">
      <c r="A16" s="12">
        <f>A8+60</f>
        <v>41789</v>
      </c>
      <c r="B16" s="13">
        <f t="shared" si="0"/>
        <v>0</v>
      </c>
      <c r="C16" s="14"/>
      <c r="D16" s="15" t="s">
        <v>28</v>
      </c>
    </row>
    <row r="17" spans="1:4" x14ac:dyDescent="0.25">
      <c r="A17" s="12">
        <f>DATEVALUE("01.08."&amp;$B$1)</f>
        <v>41851</v>
      </c>
      <c r="B17" s="13">
        <f t="shared" si="0"/>
        <v>0</v>
      </c>
      <c r="C17" s="14"/>
      <c r="D17" s="15" t="s">
        <v>29</v>
      </c>
    </row>
    <row r="18" spans="1:4" x14ac:dyDescent="0.25">
      <c r="A18" s="12">
        <f>DATEVALUE("03.10."&amp;$B$1)</f>
        <v>41914</v>
      </c>
      <c r="B18" s="13">
        <f t="shared" si="0"/>
        <v>41914</v>
      </c>
      <c r="C18" s="14" t="s">
        <v>13</v>
      </c>
      <c r="D18" s="15" t="s">
        <v>30</v>
      </c>
    </row>
    <row r="19" spans="1:4" x14ac:dyDescent="0.25">
      <c r="A19" s="12">
        <f>DATE($B$1,10,1)+7-WEEKDAY(DATE($B$1,10,1),2)</f>
        <v>41918</v>
      </c>
      <c r="B19" s="13">
        <f t="shared" si="0"/>
        <v>0</v>
      </c>
      <c r="C19" s="14"/>
      <c r="D19" s="15" t="s">
        <v>31</v>
      </c>
    </row>
    <row r="20" spans="1:4" x14ac:dyDescent="0.25">
      <c r="A20" s="12">
        <f>DATEVALUE("26.10."&amp;$B$1)</f>
        <v>41937</v>
      </c>
      <c r="B20" s="13">
        <f t="shared" si="0"/>
        <v>0</v>
      </c>
      <c r="C20" s="14"/>
      <c r="D20" s="15" t="s">
        <v>32</v>
      </c>
    </row>
    <row r="21" spans="1:4" x14ac:dyDescent="0.25">
      <c r="A21" s="12">
        <f>DATEVALUE("31.10."&amp;$B$1)</f>
        <v>41942</v>
      </c>
      <c r="B21" s="13">
        <f t="shared" si="0"/>
        <v>0</v>
      </c>
      <c r="C21" s="14"/>
      <c r="D21" s="15" t="s">
        <v>33</v>
      </c>
    </row>
    <row r="22" spans="1:4" x14ac:dyDescent="0.25">
      <c r="A22" s="12">
        <f>DATEVALUE("01.11."&amp;$B$1)</f>
        <v>41943</v>
      </c>
      <c r="B22" s="13">
        <f t="shared" si="0"/>
        <v>0</v>
      </c>
      <c r="C22" s="14"/>
      <c r="D22" s="15" t="s">
        <v>34</v>
      </c>
    </row>
    <row r="23" spans="1:4" x14ac:dyDescent="0.25">
      <c r="A23" s="12">
        <f>DATE($B$1,12,25)-WEEKDAY(DATE($B$1,12,25),2)-35</f>
        <v>41960</v>
      </c>
      <c r="B23" s="13">
        <f t="shared" si="0"/>
        <v>0</v>
      </c>
      <c r="C23" s="14"/>
      <c r="D23" s="15" t="s">
        <v>35</v>
      </c>
    </row>
    <row r="24" spans="1:4" x14ac:dyDescent="0.25">
      <c r="A24" s="12">
        <f>DATE($B$1,12,25)-WEEKDAY(DATE($B$1,12,25),2)-32</f>
        <v>41963</v>
      </c>
      <c r="B24" s="13">
        <f t="shared" si="0"/>
        <v>0</v>
      </c>
      <c r="C24" s="14"/>
      <c r="D24" s="15" t="s">
        <v>36</v>
      </c>
    </row>
    <row r="25" spans="1:4" x14ac:dyDescent="0.25">
      <c r="A25" s="12">
        <f>DATE($B$1,12,25)-WEEKDAY(DATE($B$1,12,25),2)-28</f>
        <v>41967</v>
      </c>
      <c r="B25" s="13">
        <f t="shared" si="0"/>
        <v>0</v>
      </c>
      <c r="C25" s="14"/>
      <c r="D25" s="15" t="s">
        <v>37</v>
      </c>
    </row>
    <row r="26" spans="1:4" x14ac:dyDescent="0.25">
      <c r="A26" s="12">
        <f>DATE($B$1,12,25)-WEEKDAY(DATE($B$1,12,25),2)-21</f>
        <v>41974</v>
      </c>
      <c r="B26" s="13">
        <f t="shared" si="0"/>
        <v>0</v>
      </c>
      <c r="C26" s="14"/>
      <c r="D26" s="15" t="s">
        <v>38</v>
      </c>
    </row>
    <row r="27" spans="1:4" x14ac:dyDescent="0.25">
      <c r="A27" s="12">
        <f>DATE($B$1,12,25)-WEEKDAY(DATE($B$1,12,25),2)-14</f>
        <v>41981</v>
      </c>
      <c r="B27" s="13">
        <f t="shared" si="0"/>
        <v>0</v>
      </c>
      <c r="C27" s="14"/>
      <c r="D27" s="15" t="s">
        <v>39</v>
      </c>
    </row>
    <row r="28" spans="1:4" x14ac:dyDescent="0.25">
      <c r="A28" s="12">
        <f>DATE($B$1,12,25)-WEEKDAY(DATE($B$1,12,25),2)-7</f>
        <v>41988</v>
      </c>
      <c r="B28" s="13">
        <f t="shared" si="0"/>
        <v>0</v>
      </c>
      <c r="C28" s="14"/>
      <c r="D28" s="15" t="s">
        <v>40</v>
      </c>
    </row>
    <row r="29" spans="1:4" x14ac:dyDescent="0.25">
      <c r="A29" s="12">
        <f>DATE($B$1,12,25)-WEEKDAY(DATE($B$1,12,25),2)</f>
        <v>41995</v>
      </c>
      <c r="B29" s="13">
        <f t="shared" si="0"/>
        <v>0</v>
      </c>
      <c r="C29" s="14"/>
      <c r="D29" s="15" t="s">
        <v>41</v>
      </c>
    </row>
    <row r="30" spans="1:4" x14ac:dyDescent="0.25">
      <c r="A30" s="12">
        <f>DATEVALUE("24.12."&amp;$B$1)</f>
        <v>41996</v>
      </c>
      <c r="B30" s="13">
        <f t="shared" si="0"/>
        <v>0</v>
      </c>
      <c r="C30" s="14"/>
      <c r="D30" s="15" t="s">
        <v>42</v>
      </c>
    </row>
    <row r="31" spans="1:4" x14ac:dyDescent="0.25">
      <c r="A31" s="12">
        <f>DATEVALUE("25.12."&amp;$B$1)</f>
        <v>41997</v>
      </c>
      <c r="B31" s="13">
        <f t="shared" si="0"/>
        <v>41997</v>
      </c>
      <c r="C31" s="14" t="s">
        <v>13</v>
      </c>
      <c r="D31" s="15" t="s">
        <v>43</v>
      </c>
    </row>
    <row r="32" spans="1:4" x14ac:dyDescent="0.25">
      <c r="A32" s="12">
        <f>DATEVALUE("26.12."&amp;$B$1)</f>
        <v>41998</v>
      </c>
      <c r="B32" s="13">
        <f t="shared" si="0"/>
        <v>41998</v>
      </c>
      <c r="C32" s="14" t="s">
        <v>13</v>
      </c>
      <c r="D32" s="15" t="s">
        <v>44</v>
      </c>
    </row>
    <row r="33" spans="1:4" x14ac:dyDescent="0.25">
      <c r="A33" s="12">
        <f>DATEVALUE("31.12."&amp;$B$1)</f>
        <v>42003</v>
      </c>
      <c r="B33" s="13">
        <f t="shared" si="0"/>
        <v>0</v>
      </c>
      <c r="C33" s="14"/>
      <c r="D33" s="15" t="s">
        <v>45</v>
      </c>
    </row>
    <row r="34" spans="1:4" x14ac:dyDescent="0.25">
      <c r="A34" s="17"/>
      <c r="B34" s="13">
        <f t="shared" si="0"/>
        <v>0</v>
      </c>
      <c r="C34" s="18"/>
      <c r="D34" s="18"/>
    </row>
    <row r="35" spans="1:4" x14ac:dyDescent="0.25">
      <c r="A35" s="17"/>
      <c r="B35" s="13">
        <f t="shared" si="0"/>
        <v>0</v>
      </c>
      <c r="C35" s="18"/>
      <c r="D35" s="18"/>
    </row>
    <row r="36" spans="1:4" x14ac:dyDescent="0.25">
      <c r="A36" s="17"/>
      <c r="B36" s="13">
        <f t="shared" si="0"/>
        <v>0</v>
      </c>
      <c r="C36" s="18"/>
      <c r="D36" s="18"/>
    </row>
    <row r="37" spans="1:4" x14ac:dyDescent="0.25">
      <c r="A37" s="17"/>
      <c r="B37" s="13">
        <f t="shared" si="0"/>
        <v>0</v>
      </c>
      <c r="C37" s="18"/>
      <c r="D37" s="18"/>
    </row>
    <row r="38" spans="1:4" x14ac:dyDescent="0.25">
      <c r="A38" s="17"/>
      <c r="B38" s="13">
        <f t="shared" si="0"/>
        <v>0</v>
      </c>
      <c r="C38" s="18"/>
      <c r="D38" s="18"/>
    </row>
    <row r="39" spans="1:4" x14ac:dyDescent="0.25">
      <c r="A39" s="17"/>
      <c r="B39" s="13">
        <f t="shared" si="0"/>
        <v>0</v>
      </c>
      <c r="C39" s="18"/>
      <c r="D39" s="18"/>
    </row>
    <row r="40" spans="1:4" x14ac:dyDescent="0.25">
      <c r="A40" s="17"/>
      <c r="B40" s="13">
        <f t="shared" si="0"/>
        <v>0</v>
      </c>
      <c r="C40" s="18"/>
      <c r="D40" s="18"/>
    </row>
    <row r="41" spans="1:4" x14ac:dyDescent="0.25">
      <c r="A41" s="17"/>
      <c r="B41" s="13">
        <f t="shared" si="0"/>
        <v>0</v>
      </c>
      <c r="C41" s="18"/>
      <c r="D41" s="18"/>
    </row>
    <row r="42" spans="1:4" x14ac:dyDescent="0.25">
      <c r="A42" s="18"/>
      <c r="B42" s="13">
        <f t="shared" si="0"/>
        <v>0</v>
      </c>
      <c r="C42" s="18"/>
      <c r="D42" s="18"/>
    </row>
    <row r="43" spans="1:4" x14ac:dyDescent="0.25">
      <c r="A43" s="18"/>
      <c r="B43" s="13">
        <f t="shared" si="0"/>
        <v>0</v>
      </c>
      <c r="C43" s="18"/>
      <c r="D43" s="18"/>
    </row>
    <row r="44" spans="1:4" x14ac:dyDescent="0.25">
      <c r="A44" s="18"/>
      <c r="B44" s="13">
        <f t="shared" si="0"/>
        <v>0</v>
      </c>
      <c r="C44" s="18"/>
      <c r="D44" s="18"/>
    </row>
    <row r="45" spans="1:4" x14ac:dyDescent="0.25">
      <c r="A45" s="18"/>
      <c r="B45" s="13">
        <f t="shared" si="0"/>
        <v>0</v>
      </c>
      <c r="C45" s="18"/>
      <c r="D45" s="18"/>
    </row>
    <row r="46" spans="1:4" x14ac:dyDescent="0.25">
      <c r="A46" s="18"/>
      <c r="B46" s="13">
        <f t="shared" si="0"/>
        <v>0</v>
      </c>
      <c r="C46" s="18"/>
      <c r="D46" s="18"/>
    </row>
    <row r="47" spans="1:4" x14ac:dyDescent="0.25">
      <c r="A47" s="17"/>
      <c r="B47" s="13">
        <f t="shared" si="0"/>
        <v>0</v>
      </c>
      <c r="C47" s="18"/>
      <c r="D47" s="18"/>
    </row>
    <row r="48" spans="1:4" x14ac:dyDescent="0.25">
      <c r="A48" s="18"/>
      <c r="B48" s="13">
        <f t="shared" si="0"/>
        <v>0</v>
      </c>
      <c r="C48" s="18"/>
      <c r="D48" s="18"/>
    </row>
    <row r="49" spans="1:4" x14ac:dyDescent="0.25">
      <c r="A49" s="18"/>
      <c r="B49" s="13">
        <f t="shared" si="0"/>
        <v>0</v>
      </c>
      <c r="C49" s="18"/>
      <c r="D49" s="18"/>
    </row>
  </sheetData>
  <sheetProtection algorithmName="SHA-512" hashValue="VLUEtjO+GLPaoKD8jRV92crrZAPRoU+CK2muL9yJvPrq23rMfhLbkcj+hMQxWYqBcJkuBK7SviXB5kjS28KRLA==" saltValue="xEe8HseJBB1tIEQT00QF4Q==" spinCount="100000" sheet="1" selectLockedCells="1"/>
  <conditionalFormatting sqref="B2 B4:B49">
    <cfRule type="expression" dxfId="1" priority="1" stopIfTrue="1">
      <formula>AND(WEEKDAY($B2,2)&gt;5,B2&gt;0)</formula>
    </cfRule>
  </conditionalFormatting>
  <conditionalFormatting sqref="B3">
    <cfRule type="expression" dxfId="0" priority="2" stopIfTrue="1">
      <formula>AND(WEEKDAY($B3,2)&gt;5,B3&gt;0)</formula>
    </cfRule>
  </conditionalFormatting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39997558519241921"/>
  </sheetPr>
  <dimension ref="A1:G15"/>
  <sheetViews>
    <sheetView workbookViewId="0">
      <selection activeCell="A2" sqref="A2"/>
    </sheetView>
  </sheetViews>
  <sheetFormatPr baseColWidth="10" defaultRowHeight="15" x14ac:dyDescent="0.25"/>
  <cols>
    <col min="1" max="1" width="20.42578125" customWidth="1"/>
    <col min="2" max="2" width="14.5703125" customWidth="1"/>
    <col min="3" max="3" width="13.85546875" customWidth="1"/>
    <col min="4" max="4" width="14" customWidth="1"/>
    <col min="5" max="5" width="19.85546875" bestFit="1" customWidth="1"/>
    <col min="6" max="6" width="19.85546875" customWidth="1"/>
    <col min="7" max="7" width="97.140625" customWidth="1"/>
  </cols>
  <sheetData>
    <row r="1" spans="1:7" s="120" customFormat="1" ht="19.5" thickBot="1" x14ac:dyDescent="0.35">
      <c r="A1" s="118" t="s">
        <v>82</v>
      </c>
      <c r="B1" s="119" t="s">
        <v>7</v>
      </c>
      <c r="C1" s="119" t="s">
        <v>6</v>
      </c>
      <c r="D1" s="119" t="s">
        <v>83</v>
      </c>
      <c r="E1" s="119" t="s">
        <v>85</v>
      </c>
      <c r="F1" s="119" t="s">
        <v>84</v>
      </c>
      <c r="G1" s="119" t="s">
        <v>86</v>
      </c>
    </row>
    <row r="2" spans="1:7" ht="18.75" x14ac:dyDescent="0.3">
      <c r="A2" s="121">
        <f>Januar!B1</f>
        <v>41639</v>
      </c>
      <c r="B2" s="122">
        <f ca="1">INDIRECT(TEXT(A2,"MMMM")&amp;"!$J$37")</f>
        <v>0.33333333333333331</v>
      </c>
      <c r="C2" s="122">
        <f ca="1">INDIRECT(TEXT(A2,"MMMM")&amp;"!$k$37")</f>
        <v>7.6666666666666634</v>
      </c>
      <c r="D2" s="122">
        <f ca="1">INDIRECT(TEXT(A2,"MMMM")&amp;"!$L$37")</f>
        <v>-7.3333333333333304</v>
      </c>
      <c r="E2" s="122">
        <f ca="1">INDIRECT(TEXT(A2,"MMMM")&amp;"!$v$9")</f>
        <v>0</v>
      </c>
      <c r="F2" s="122">
        <f ca="1">INDIRECT(TEXT(A2,"MMMM")&amp;"!$v$10")</f>
        <v>-7.3333333333333304</v>
      </c>
      <c r="G2" s="135" t="str">
        <f ca="1">INDIRECT(TEXT(A2,"MMMM")&amp;"!$p$16") &amp; " "</f>
        <v xml:space="preserve"> </v>
      </c>
    </row>
    <row r="3" spans="1:7" ht="18.75" x14ac:dyDescent="0.3">
      <c r="A3" s="125">
        <f>EDATE(A2,1)</f>
        <v>41670</v>
      </c>
      <c r="B3" s="126">
        <f t="shared" ref="B3:B13" ca="1" si="0">INDIRECT(TEXT(A3,"MMMM")&amp;"!$J$37")</f>
        <v>0</v>
      </c>
      <c r="C3" s="126">
        <f t="shared" ref="C3:C13" ca="1" si="1">INDIRECT(TEXT(A3,"MMMM")&amp;"!$k$37")</f>
        <v>6.6666666666666643</v>
      </c>
      <c r="D3" s="126">
        <f t="shared" ref="D3:D13" ca="1" si="2">INDIRECT(TEXT(A3,"MMMM")&amp;"!$L$37")</f>
        <v>-6.6666666666666643</v>
      </c>
      <c r="E3" s="126">
        <f t="shared" ref="E3:E13" ca="1" si="3">INDIRECT(TEXT(A3,"MMMM")&amp;"!$v$9")</f>
        <v>0</v>
      </c>
      <c r="F3" s="126">
        <f t="shared" ref="F3:F13" ca="1" si="4">INDIRECT(TEXT(A3,"MMMM")&amp;"!$v$10")</f>
        <v>-13.999999999999995</v>
      </c>
      <c r="G3" s="136" t="str">
        <f t="shared" ref="G3:G13" ca="1" si="5">INDIRECT(TEXT(A3,"MMMM")&amp;"!$p$16") &amp; " "</f>
        <v xml:space="preserve"> </v>
      </c>
    </row>
    <row r="4" spans="1:7" ht="18.75" x14ac:dyDescent="0.3">
      <c r="A4" s="124">
        <f>EDATE(A3,1)</f>
        <v>41698</v>
      </c>
      <c r="B4" s="122">
        <f t="shared" ca="1" si="0"/>
        <v>0.33333333333333331</v>
      </c>
      <c r="C4" s="122">
        <f t="shared" ca="1" si="1"/>
        <v>7.3333333333333304</v>
      </c>
      <c r="D4" s="122">
        <f t="shared" ca="1" si="2"/>
        <v>-6.9999999999999973</v>
      </c>
      <c r="E4" s="122">
        <f t="shared" ca="1" si="3"/>
        <v>0</v>
      </c>
      <c r="F4" s="122">
        <f t="shared" ca="1" si="4"/>
        <v>-20.999999999999993</v>
      </c>
      <c r="G4" s="135" t="str">
        <f t="shared" ca="1" si="5"/>
        <v xml:space="preserve"> </v>
      </c>
    </row>
    <row r="5" spans="1:7" ht="18.75" x14ac:dyDescent="0.3">
      <c r="A5" s="125">
        <f t="shared" ref="A5:A13" si="6">EDATE(A4,1)</f>
        <v>41729</v>
      </c>
      <c r="B5" s="126">
        <f t="shared" ca="1" si="0"/>
        <v>0.33333333333333331</v>
      </c>
      <c r="C5" s="126">
        <f t="shared" ca="1" si="1"/>
        <v>6.9999999999999973</v>
      </c>
      <c r="D5" s="126">
        <f t="shared" ca="1" si="2"/>
        <v>-6.6666666666666643</v>
      </c>
      <c r="E5" s="126">
        <f t="shared" ca="1" si="3"/>
        <v>0</v>
      </c>
      <c r="F5" s="126">
        <f t="shared" ca="1" si="4"/>
        <v>-27.666666666666657</v>
      </c>
      <c r="G5" s="136" t="str">
        <f t="shared" ca="1" si="5"/>
        <v xml:space="preserve"> </v>
      </c>
    </row>
    <row r="6" spans="1:7" ht="18.75" x14ac:dyDescent="0.3">
      <c r="A6" s="124">
        <f t="shared" si="6"/>
        <v>41759</v>
      </c>
      <c r="B6" s="122">
        <f t="shared" ca="1" si="0"/>
        <v>1</v>
      </c>
      <c r="C6" s="122">
        <f t="shared" ca="1" si="1"/>
        <v>7.6666666666666634</v>
      </c>
      <c r="D6" s="122">
        <f t="shared" ca="1" si="2"/>
        <v>-6.6666666666666643</v>
      </c>
      <c r="E6" s="122">
        <f t="shared" ca="1" si="3"/>
        <v>0</v>
      </c>
      <c r="F6" s="122">
        <f t="shared" ca="1" si="4"/>
        <v>-34.333333333333321</v>
      </c>
      <c r="G6" s="135" t="str">
        <f t="shared" ca="1" si="5"/>
        <v xml:space="preserve"> </v>
      </c>
    </row>
    <row r="7" spans="1:7" ht="18.75" x14ac:dyDescent="0.3">
      <c r="A7" s="125">
        <f t="shared" si="6"/>
        <v>41790</v>
      </c>
      <c r="B7" s="126">
        <f t="shared" ca="1" si="0"/>
        <v>0</v>
      </c>
      <c r="C7" s="126">
        <f t="shared" ca="1" si="1"/>
        <v>6.9999999999999973</v>
      </c>
      <c r="D7" s="126">
        <f t="shared" ca="1" si="2"/>
        <v>-6.9999999999999973</v>
      </c>
      <c r="E7" s="126">
        <f t="shared" ca="1" si="3"/>
        <v>0</v>
      </c>
      <c r="F7" s="126">
        <f t="shared" ca="1" si="4"/>
        <v>-41.333333333333321</v>
      </c>
      <c r="G7" s="136" t="str">
        <f t="shared" ca="1" si="5"/>
        <v xml:space="preserve"> </v>
      </c>
    </row>
    <row r="8" spans="1:7" ht="18.75" x14ac:dyDescent="0.3">
      <c r="A8" s="124">
        <f t="shared" si="6"/>
        <v>41820</v>
      </c>
      <c r="B8" s="122">
        <f t="shared" ca="1" si="0"/>
        <v>0</v>
      </c>
      <c r="C8" s="122">
        <f t="shared" ca="1" si="1"/>
        <v>7.3333333333333304</v>
      </c>
      <c r="D8" s="122">
        <f t="shared" ca="1" si="2"/>
        <v>-7.3333333333333304</v>
      </c>
      <c r="E8" s="122">
        <f t="shared" ca="1" si="3"/>
        <v>0</v>
      </c>
      <c r="F8" s="122">
        <f t="shared" ca="1" si="4"/>
        <v>-48.66666666666665</v>
      </c>
      <c r="G8" s="135" t="str">
        <f t="shared" ca="1" si="5"/>
        <v xml:space="preserve"> </v>
      </c>
    </row>
    <row r="9" spans="1:7" ht="18.75" x14ac:dyDescent="0.3">
      <c r="A9" s="125">
        <f t="shared" si="6"/>
        <v>41851</v>
      </c>
      <c r="B9" s="126">
        <f t="shared" ca="1" si="0"/>
        <v>0</v>
      </c>
      <c r="C9" s="126">
        <f t="shared" ca="1" si="1"/>
        <v>7.6666666666666634</v>
      </c>
      <c r="D9" s="126">
        <f t="shared" ca="1" si="2"/>
        <v>-2.333333333333333</v>
      </c>
      <c r="E9" s="126">
        <f t="shared" ca="1" si="3"/>
        <v>0</v>
      </c>
      <c r="F9" s="126">
        <f t="shared" ca="1" si="4"/>
        <v>-50.999999999999986</v>
      </c>
      <c r="G9" s="136" t="str">
        <f t="shared" ca="1" si="5"/>
        <v xml:space="preserve"> </v>
      </c>
    </row>
    <row r="10" spans="1:7" ht="18.75" x14ac:dyDescent="0.3">
      <c r="A10" s="124">
        <f t="shared" si="6"/>
        <v>41882</v>
      </c>
      <c r="B10" s="122">
        <f t="shared" ca="1" si="0"/>
        <v>0</v>
      </c>
      <c r="C10" s="122">
        <f t="shared" ca="1" si="1"/>
        <v>6.6666666666666643</v>
      </c>
      <c r="D10" s="122">
        <f t="shared" ca="1" si="2"/>
        <v>0</v>
      </c>
      <c r="E10" s="122">
        <f t="shared" ca="1" si="3"/>
        <v>0</v>
      </c>
      <c r="F10" s="122">
        <f t="shared" ca="1" si="4"/>
        <v>-50.999999999999986</v>
      </c>
      <c r="G10" s="135" t="str">
        <f t="shared" ca="1" si="5"/>
        <v xml:space="preserve"> </v>
      </c>
    </row>
    <row r="11" spans="1:7" ht="18.75" x14ac:dyDescent="0.3">
      <c r="A11" s="125">
        <f t="shared" si="6"/>
        <v>41912</v>
      </c>
      <c r="B11" s="126">
        <f t="shared" ca="1" si="0"/>
        <v>0.33333333333333331</v>
      </c>
      <c r="C11" s="126">
        <f t="shared" ca="1" si="1"/>
        <v>7.6666666666666634</v>
      </c>
      <c r="D11" s="126">
        <f t="shared" ca="1" si="2"/>
        <v>0</v>
      </c>
      <c r="E11" s="126">
        <f t="shared" ca="1" si="3"/>
        <v>0</v>
      </c>
      <c r="F11" s="126">
        <f t="shared" ca="1" si="4"/>
        <v>-50.999999999999986</v>
      </c>
      <c r="G11" s="136" t="str">
        <f t="shared" ca="1" si="5"/>
        <v xml:space="preserve"> </v>
      </c>
    </row>
    <row r="12" spans="1:7" ht="18.75" x14ac:dyDescent="0.3">
      <c r="A12" s="124">
        <f t="shared" si="6"/>
        <v>41943</v>
      </c>
      <c r="B12" s="122">
        <f t="shared" ca="1" si="0"/>
        <v>0</v>
      </c>
      <c r="C12" s="122">
        <f t="shared" ca="1" si="1"/>
        <v>7.3333333333333304</v>
      </c>
      <c r="D12" s="122">
        <f t="shared" ca="1" si="2"/>
        <v>0</v>
      </c>
      <c r="E12" s="122">
        <f t="shared" ca="1" si="3"/>
        <v>0</v>
      </c>
      <c r="F12" s="122">
        <f t="shared" ca="1" si="4"/>
        <v>-50.999999999999986</v>
      </c>
      <c r="G12" s="135" t="str">
        <f t="shared" ca="1" si="5"/>
        <v xml:space="preserve"> </v>
      </c>
    </row>
    <row r="13" spans="1:7" ht="19.5" thickBot="1" x14ac:dyDescent="0.35">
      <c r="A13" s="127">
        <f t="shared" si="6"/>
        <v>41973</v>
      </c>
      <c r="B13" s="128">
        <f t="shared" ca="1" si="0"/>
        <v>0.66666666666666663</v>
      </c>
      <c r="C13" s="128">
        <f t="shared" ca="1" si="1"/>
        <v>6.9999999999999973</v>
      </c>
      <c r="D13" s="129">
        <f t="shared" ca="1" si="2"/>
        <v>0</v>
      </c>
      <c r="E13" s="129">
        <f t="shared" ca="1" si="3"/>
        <v>0</v>
      </c>
      <c r="F13" s="129">
        <f t="shared" ca="1" si="4"/>
        <v>-50.999999999999986</v>
      </c>
      <c r="G13" s="136" t="str">
        <f t="shared" ca="1" si="5"/>
        <v xml:space="preserve"> </v>
      </c>
    </row>
    <row r="14" spans="1:7" ht="18.75" x14ac:dyDescent="0.3">
      <c r="A14" s="123"/>
      <c r="B14" s="123"/>
      <c r="C14" s="123"/>
      <c r="D14" s="123"/>
      <c r="E14" s="123"/>
      <c r="F14" s="123"/>
    </row>
    <row r="15" spans="1:7" ht="18.75" x14ac:dyDescent="0.3">
      <c r="A15" s="123"/>
      <c r="B15" s="123"/>
      <c r="C15" s="123"/>
      <c r="D15" s="123"/>
      <c r="E15" s="123"/>
      <c r="F15" s="123"/>
    </row>
  </sheetData>
  <sheetProtection algorithmName="SHA-512" hashValue="o9QF6DnSxvDtyJeazUDLfVcH7eawR0MM+LjfdpDk8Yl+a6/m6r/ZaNNmBV4gNTAz5R4kZ5bKzYWpbbiggjUrXg==" saltValue="EEuAnREYhIkxZhpVTfRdzQ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39"/>
  <sheetViews>
    <sheetView showGridLines="0" workbookViewId="0">
      <pane xSplit="4" ySplit="4" topLeftCell="E5" activePane="bottomRight" state="frozen"/>
      <selection activeCell="B1" sqref="B1:N1"/>
      <selection pane="topRight" activeCell="B1" sqref="B1:N1"/>
      <selection pane="bottomLeft" activeCell="B1" sqref="B1:N1"/>
      <selection pane="bottomRight" activeCell="U4" sqref="U4:V4"/>
    </sheetView>
  </sheetViews>
  <sheetFormatPr baseColWidth="10" defaultRowHeight="15" x14ac:dyDescent="0.25"/>
  <cols>
    <col min="1" max="1" width="2.28515625" customWidth="1"/>
    <col min="2" max="2" width="8.85546875" customWidth="1"/>
    <col min="3" max="3" width="7.28515625" customWidth="1"/>
    <col min="4" max="4" width="1" customWidth="1"/>
    <col min="5" max="8" width="7.7109375" customWidth="1"/>
    <col min="9" max="9" width="8" customWidth="1"/>
    <col min="10" max="10" width="12.42578125" customWidth="1"/>
    <col min="11" max="11" width="12.140625" customWidth="1"/>
    <col min="12" max="12" width="12.85546875" customWidth="1"/>
    <col min="13" max="13" width="16.5703125" bestFit="1" customWidth="1"/>
    <col min="14" max="14" width="17.85546875" customWidth="1"/>
    <col min="15" max="15" width="4.28515625" customWidth="1"/>
    <col min="16" max="16" width="18.7109375" customWidth="1"/>
    <col min="17" max="17" width="12.28515625" customWidth="1"/>
    <col min="18" max="18" width="11.140625" customWidth="1"/>
    <col min="19" max="19" width="15.7109375" customWidth="1"/>
    <col min="20" max="20" width="4.140625" customWidth="1"/>
    <col min="21" max="21" width="29.140625" customWidth="1"/>
    <col min="22" max="22" width="16" customWidth="1"/>
    <col min="47" max="55" width="13.7109375" customWidth="1"/>
  </cols>
  <sheetData>
    <row r="1" spans="1:54" ht="24.75" customHeight="1" thickBot="1" x14ac:dyDescent="0.5">
      <c r="A1" s="117">
        <v>41639</v>
      </c>
      <c r="B1" s="142">
        <f>EDATE(Januar!$A$1,1)</f>
        <v>41670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54" s="21" customFormat="1" ht="24.75" customHeight="1" thickBot="1" x14ac:dyDescent="0.5">
      <c r="B2" s="59"/>
      <c r="C2" s="59"/>
      <c r="D2" s="59"/>
      <c r="E2" s="60"/>
      <c r="F2" s="60"/>
      <c r="G2" s="60"/>
      <c r="H2" s="60"/>
      <c r="I2" s="59"/>
      <c r="J2" s="59"/>
      <c r="K2" s="59"/>
      <c r="L2" s="59"/>
      <c r="M2" s="59"/>
      <c r="N2" s="59"/>
    </row>
    <row r="3" spans="1:54" ht="19.5" thickBot="1" x14ac:dyDescent="0.35">
      <c r="B3" s="58"/>
      <c r="C3" s="58"/>
      <c r="D3" s="58"/>
      <c r="E3" s="145" t="s">
        <v>0</v>
      </c>
      <c r="F3" s="146"/>
      <c r="G3" s="146"/>
      <c r="H3" s="147"/>
      <c r="I3" s="58"/>
      <c r="J3" s="58"/>
      <c r="K3" s="58"/>
      <c r="L3" s="58"/>
      <c r="M3" s="58"/>
      <c r="N3" s="58"/>
      <c r="O3" s="2"/>
    </row>
    <row r="4" spans="1:54" ht="19.5" thickBot="1" x14ac:dyDescent="0.35">
      <c r="B4" s="41" t="s">
        <v>4</v>
      </c>
      <c r="C4" s="41" t="s">
        <v>5</v>
      </c>
      <c r="D4" s="42"/>
      <c r="E4" s="41" t="s">
        <v>1</v>
      </c>
      <c r="F4" s="41" t="s">
        <v>2</v>
      </c>
      <c r="G4" s="41" t="s">
        <v>1</v>
      </c>
      <c r="H4" s="41" t="s">
        <v>2</v>
      </c>
      <c r="I4" s="41" t="s">
        <v>3</v>
      </c>
      <c r="J4" s="41" t="s">
        <v>7</v>
      </c>
      <c r="K4" s="41" t="s">
        <v>6</v>
      </c>
      <c r="L4" s="41" t="s">
        <v>11</v>
      </c>
      <c r="M4" s="41" t="s">
        <v>56</v>
      </c>
      <c r="N4" s="41" t="s">
        <v>71</v>
      </c>
      <c r="O4" s="20"/>
      <c r="P4" s="150" t="s">
        <v>10</v>
      </c>
      <c r="Q4" s="151"/>
      <c r="R4" s="151"/>
      <c r="S4" s="152"/>
      <c r="U4" s="148" t="s">
        <v>81</v>
      </c>
      <c r="V4" s="149"/>
      <c r="AU4" s="36" t="s">
        <v>46</v>
      </c>
      <c r="AV4" s="36" t="s">
        <v>46</v>
      </c>
      <c r="AW4" s="37" t="s">
        <v>66</v>
      </c>
      <c r="AX4" s="36" t="s">
        <v>67</v>
      </c>
      <c r="AY4" s="6" t="s">
        <v>3</v>
      </c>
      <c r="AZ4" s="36" t="s">
        <v>7</v>
      </c>
      <c r="BA4" s="36" t="s">
        <v>72</v>
      </c>
      <c r="BB4" s="6" t="s">
        <v>6</v>
      </c>
    </row>
    <row r="5" spans="1:54" ht="21.75" thickBot="1" x14ac:dyDescent="0.4">
      <c r="B5" s="45">
        <f>B1</f>
        <v>41670</v>
      </c>
      <c r="C5" s="46">
        <f>B5</f>
        <v>41670</v>
      </c>
      <c r="D5" s="3"/>
      <c r="E5" s="61"/>
      <c r="F5" s="61"/>
      <c r="G5" s="61"/>
      <c r="H5" s="61"/>
      <c r="I5" s="61" t="str">
        <f t="shared" ref="I5:I35" ca="1" si="0">IF(AZ5=0,"",IF(AY5=0,"",IF(OR(B5&lt;=TODAY(),AZ5),AY5,"")))</f>
        <v/>
      </c>
      <c r="J5" s="49">
        <f>IF(AND(Feiertage!$G$2&lt;&gt;"ja",AV5=1),IF(AZ5&gt;0,BB5+AZ5,BB5),IF(AZ5=0,0, IF(I5&lt;&gt;"",AZ5-I5,AZ5)))+AX5</f>
        <v>0</v>
      </c>
      <c r="K5" s="61">
        <f>IF(AV5=0,BB5,IF(Feiertage!$G$2="ja","00:00",BB5))</f>
        <v>0.33333333333333331</v>
      </c>
      <c r="L5" s="52">
        <f t="shared" ref="L5:L18" ca="1" si="1">IF(OR(B5&lt;=TODAY(),J5,AW5="G"),IF(J5&lt;&gt;"",IF(J5-K5=0,"",J5-K5),IF(K5&lt;&gt;"",-K5,"")),"")</f>
        <v>-0.33333333333333331</v>
      </c>
      <c r="M5" s="50" t="str">
        <f>IF(AV5=1,AU5,IF(LOWER(AW5)=LOWER(Urlaub!$W$19),Urlaub!$S$19,
IF(LOWER(AW5)=LOWER(Urlaub!$W$20),Urlaub!$S$20,
IF(LOWER(AW5)=LOWER(Urlaub!$W$21),Urlaub!$S$21,
IF(LOWER(AW5)=LOWER(Urlaub!$W$22),Urlaub!$S$22,
IF(LOWER(AW5)=LOWER(Urlaub!$W$23),Urlaub!$S$23,
IF(LOWER(AW5)=LOWER(Urlaub!$W$24),Urlaub!$S$24,""))))))&amp;IF(AND(EXACT(LOWER(AW5),AW5),AW5&lt;&gt;0)," 1/2",""))</f>
        <v/>
      </c>
      <c r="N5" s="51">
        <f t="shared" ref="N5:N32" si="2">24*J5*IF(WEEKDAY(C5)=WEEKDAY($P$6),$S$6,
IF(WEEKDAY(C5)=WEEKDAY($P$7),$S$7,
IF(WEEKDAY(C5)=WEEKDAY($P$8),$S$8,
IF(WEEKDAY(C5)=WEEKDAY($P$9),$S$9,
IF(WEEKDAY(C5)=WEEKDAY($P$10),$S$10,
IF(WEEKDAY(C5)=WEEKDAY($P$11),$S$11,
IF(WEEKDAY(C5)=WEEKDAY($P$12),$S$12,"")))))))</f>
        <v>0</v>
      </c>
      <c r="P5" s="41" t="s">
        <v>8</v>
      </c>
      <c r="Q5" s="41" t="s">
        <v>6</v>
      </c>
      <c r="R5" s="41" t="s">
        <v>3</v>
      </c>
      <c r="S5" s="41" t="s">
        <v>70</v>
      </c>
      <c r="U5" s="112" t="str">
        <f xml:space="preserve"> "Übertrag aus " &amp; IF( MONTH(B1)=1, YEAR(B1)-1, TEXT(EDATE(B1,-1),"MMMM"))</f>
        <v>Übertrag aus Januar</v>
      </c>
      <c r="V5" s="130">
        <f ca="1">IF(MONTH(B1)&gt;1,INDIRECT(TEXT(EDATE(B1,-1),"MMMM")&amp;"!v10"),"")</f>
        <v>-7.3333333333333304</v>
      </c>
      <c r="AU5" t="str">
        <f>IF(AV5=1,VLOOKUP($B5,Feiertage!$B$2:$D$49,3,FALSE),"")</f>
        <v/>
      </c>
      <c r="AV5">
        <f>IF(IFERROR(MATCH($B5,Feiertage!$B$2:$B$49,0)&gt;0,0),1,0)</f>
        <v>0</v>
      </c>
      <c r="AW5" s="22">
        <f>IFERROR(HLOOKUP(DAY(B5),Urlaub!$C$4:$AG$16,MONTH(B5)+1,FALSE),0)</f>
        <v>0</v>
      </c>
      <c r="AX5" s="38">
        <f t="shared" ref="AX5:AX16" si="3">IFERROR(IF(AW5=0,0,IF(EXACT(LOWER(AW5),AW5),0.5*BB5,BB5)),"")</f>
        <v>0</v>
      </c>
      <c r="AY5" s="7">
        <f t="shared" ref="AY5:AY35" si="4">IFERROR(IF(WEEKDAY(C5)=WEEKDAY($P$6),$R$6,
IF(WEEKDAY(C5)=WEEKDAY($P$7),$R$7,
IF(WEEKDAY(C5)=WEEKDAY($P$8),$R$8,
IF(WEEKDAY(C5)=WEEKDAY($P$9),$R$9,
IF(WEEKDAY(C5)=WEEKDAY($P$10),$R$10,
IF(WEEKDAY(C5)=WEEKDAY($P$11),$R$11,
IF(WEEKDAY(C5)=WEEKDAY($P$12),$R$12,""))))))),"")</f>
        <v>2.0833333333333301E-2</v>
      </c>
      <c r="AZ5" s="5">
        <f t="shared" ref="AZ5:AZ35" si="5">IF(F5,IF(E5,IF(E5&gt;F5,F5+"24:00"-E5,F5-E5),0),0)+IF(G5,IF(G5,IF(G5&gt;H5,H5+"24:00"-G5,H5-G5),0),0)</f>
        <v>0</v>
      </c>
      <c r="BA5" s="39">
        <f>AZ5*24</f>
        <v>0</v>
      </c>
      <c r="BB5" s="5">
        <f t="shared" ref="BB5:BB35" si="6">IFERROR(IF(WEEKDAY(C5)=WEEKDAY($P$6),$Q$6,
IF(WEEKDAY(C5)=WEEKDAY($P$7),$Q$7,
IF(WEEKDAY(C5)=WEEKDAY($P$8),$Q$8,
IF(WEEKDAY(C5)=WEEKDAY($P$9),$Q$9,
IF(WEEKDAY(C5)=WEEKDAY($P$10),$Q$10,
IF(WEEKDAY(C5)=WEEKDAY($P$11),$Q$11,
IF(WEEKDAY(C5)=WEEKDAY($P$12),$Q$12,""))))))),"")</f>
        <v>0.33333333333333331</v>
      </c>
    </row>
    <row r="6" spans="1:54" ht="21" x14ac:dyDescent="0.35">
      <c r="B6" s="43">
        <f>B5+1</f>
        <v>41671</v>
      </c>
      <c r="C6" s="44">
        <f>B6</f>
        <v>41671</v>
      </c>
      <c r="D6" s="3"/>
      <c r="E6" s="62"/>
      <c r="F6" s="62"/>
      <c r="G6" s="62"/>
      <c r="H6" s="62"/>
      <c r="I6" s="62" t="str">
        <f t="shared" ca="1" si="0"/>
        <v/>
      </c>
      <c r="J6" s="52">
        <f>IF(AND(Feiertage!$G$2&lt;&gt;"ja",AV6=1),IF(AZ6&gt;0,BB6+AZ6,BB6),IF(AZ6=0,0, IF(I6&lt;&gt;"",AZ6-I6,AZ6)))+AX6</f>
        <v>0</v>
      </c>
      <c r="K6" s="62">
        <f>IF(AV6=0,BB6,IF(Feiertage!$G$2="ja","00:00",BB6))</f>
        <v>0.33333333333333331</v>
      </c>
      <c r="L6" s="52">
        <f t="shared" ca="1" si="1"/>
        <v>-0.33333333333333331</v>
      </c>
      <c r="M6" s="50" t="str">
        <f>IF(AV6=1,AU6,IF(LOWER(AW6)=LOWER(Urlaub!$W$19),Urlaub!$S$19,
IF(LOWER(AW6)=LOWER(Urlaub!$W$20),Urlaub!$S$20,
IF(LOWER(AW6)=LOWER(Urlaub!$W$21),Urlaub!$S$21,
IF(LOWER(AW6)=LOWER(Urlaub!$W$22),Urlaub!$S$22,
IF(LOWER(AW6)=LOWER(Urlaub!$W$23),Urlaub!$S$23,
IF(LOWER(AW6)=LOWER(Urlaub!$W$24),Urlaub!$S$24,""))))))&amp;IF(AND(EXACT(LOWER(AW6),AW6),AW6&lt;&gt;0)," 1/2",""))</f>
        <v/>
      </c>
      <c r="N6" s="53">
        <f t="shared" si="2"/>
        <v>0</v>
      </c>
      <c r="P6" s="54">
        <v>41639</v>
      </c>
      <c r="Q6" s="63">
        <v>0.33333333333333331</v>
      </c>
      <c r="R6" s="63">
        <v>2.0833333333333332E-2</v>
      </c>
      <c r="S6" s="64"/>
      <c r="U6" s="114" t="s">
        <v>6</v>
      </c>
      <c r="V6" s="113">
        <f>SUM(K5:K35)</f>
        <v>6.6666666666666643</v>
      </c>
      <c r="AU6" t="str">
        <f>IF(AV6=1,VLOOKUP($B6,Feiertage!$B$2:$D$49,3,FALSE),"")</f>
        <v/>
      </c>
      <c r="AV6">
        <f>IF(IFERROR(MATCH($B6,Feiertage!$B$2:$B$49,0)&gt;0,0),1,0)</f>
        <v>0</v>
      </c>
      <c r="AW6" s="22">
        <f>IFERROR(HLOOKUP(DAY(B6),Urlaub!$C$4:$AG$16,MONTH(B6)+1,FALSE),0)</f>
        <v>0</v>
      </c>
      <c r="AX6" s="38">
        <f t="shared" si="3"/>
        <v>0</v>
      </c>
      <c r="AY6" s="7">
        <f t="shared" si="4"/>
        <v>2.0833333333333301E-2</v>
      </c>
      <c r="AZ6" s="5">
        <f t="shared" si="5"/>
        <v>0</v>
      </c>
      <c r="BA6" s="39">
        <f t="shared" ref="BA6:BA35" si="7">AZ6*24</f>
        <v>0</v>
      </c>
      <c r="BB6" s="5">
        <f t="shared" si="6"/>
        <v>0.33333333333333331</v>
      </c>
    </row>
    <row r="7" spans="1:54" ht="21" x14ac:dyDescent="0.35">
      <c r="B7" s="43">
        <f t="shared" ref="B7:B32" si="8">B6+1</f>
        <v>41672</v>
      </c>
      <c r="C7" s="44">
        <f t="shared" ref="C7:C35" si="9">B7</f>
        <v>41672</v>
      </c>
      <c r="D7" s="3"/>
      <c r="E7" s="62"/>
      <c r="F7" s="62"/>
      <c r="G7" s="62"/>
      <c r="H7" s="62"/>
      <c r="I7" s="62" t="str">
        <f t="shared" ca="1" si="0"/>
        <v/>
      </c>
      <c r="J7" s="52">
        <f>IF(AND(Feiertage!$G$2&lt;&gt;"ja",AV7=1),IF(AZ7&gt;0,BB7+AZ7,BB7),IF(AZ7=0,0, IF(I7&lt;&gt;"",AZ7-I7,AZ7)))+AX7</f>
        <v>0</v>
      </c>
      <c r="K7" s="62">
        <f>IF(AV7=0,BB7,IF(Feiertage!$G$2="ja","00:00",BB7))</f>
        <v>0</v>
      </c>
      <c r="L7" s="52" t="str">
        <f t="shared" ca="1" si="1"/>
        <v/>
      </c>
      <c r="M7" s="50" t="str">
        <f>IF(AV7=1,AU7,IF(LOWER(AW7)=LOWER(Urlaub!$W$19),Urlaub!$S$19,
IF(LOWER(AW7)=LOWER(Urlaub!$W$20),Urlaub!$S$20,
IF(LOWER(AW7)=LOWER(Urlaub!$W$21),Urlaub!$S$21,
IF(LOWER(AW7)=LOWER(Urlaub!$W$22),Urlaub!$S$22,
IF(LOWER(AW7)=LOWER(Urlaub!$W$23),Urlaub!$S$23,
IF(LOWER(AW7)=LOWER(Urlaub!$W$24),Urlaub!$S$24,""))))))&amp;IF(AND(EXACT(LOWER(AW7),AW7),AW7&lt;&gt;0)," 1/2",""))</f>
        <v/>
      </c>
      <c r="N7" s="53">
        <f t="shared" si="2"/>
        <v>0</v>
      </c>
      <c r="P7" s="55">
        <v>41640</v>
      </c>
      <c r="Q7" s="65">
        <v>0.33333333333333331</v>
      </c>
      <c r="R7" s="63">
        <v>2.0833333333333332E-2</v>
      </c>
      <c r="S7" s="66"/>
      <c r="U7" s="114" t="s">
        <v>7</v>
      </c>
      <c r="V7" s="113">
        <f>SUM(J5:J35)</f>
        <v>0</v>
      </c>
      <c r="AU7" t="str">
        <f>IF(AV7=1,VLOOKUP($B7,Feiertage!$B$2:$D$49,3,FALSE),"")</f>
        <v/>
      </c>
      <c r="AV7">
        <f>IF(IFERROR(MATCH($B7,Feiertage!$B$2:$B$49,0)&gt;0,0),1,0)</f>
        <v>0</v>
      </c>
      <c r="AW7" s="22">
        <f>IFERROR(HLOOKUP(DAY(B7),Urlaub!$C$4:$AG$16,MONTH(B7)+1,FALSE),0)</f>
        <v>0</v>
      </c>
      <c r="AX7" s="38">
        <f t="shared" si="3"/>
        <v>0</v>
      </c>
      <c r="AY7" s="7">
        <f t="shared" si="4"/>
        <v>2.0833333333333301E-2</v>
      </c>
      <c r="AZ7" s="5">
        <f t="shared" si="5"/>
        <v>0</v>
      </c>
      <c r="BA7" s="39">
        <f t="shared" si="7"/>
        <v>0</v>
      </c>
      <c r="BB7" s="5">
        <f t="shared" si="6"/>
        <v>0</v>
      </c>
    </row>
    <row r="8" spans="1:54" ht="21" x14ac:dyDescent="0.35">
      <c r="B8" s="43">
        <f t="shared" si="8"/>
        <v>41673</v>
      </c>
      <c r="C8" s="44">
        <f t="shared" si="9"/>
        <v>41673</v>
      </c>
      <c r="D8" s="3"/>
      <c r="E8" s="62"/>
      <c r="F8" s="62"/>
      <c r="G8" s="62"/>
      <c r="H8" s="62"/>
      <c r="I8" s="62" t="str">
        <f t="shared" ca="1" si="0"/>
        <v/>
      </c>
      <c r="J8" s="52">
        <f>IF(AND(Feiertage!$G$2&lt;&gt;"ja",AV8=1),IF(AZ8&gt;0,BB8+AZ8,BB8),IF(AZ8=0,0, IF(I8&lt;&gt;"",AZ8-I8,AZ8)))+AX8</f>
        <v>0</v>
      </c>
      <c r="K8" s="62">
        <f>IF(AV8=0,BB8,IF(Feiertage!$G$2="ja","00:00",BB8))</f>
        <v>0</v>
      </c>
      <c r="L8" s="52" t="str">
        <f t="shared" ca="1" si="1"/>
        <v/>
      </c>
      <c r="M8" s="50" t="str">
        <f>IF(AV8=1,AU8,IF(LOWER(AW8)=LOWER(Urlaub!$W$19),Urlaub!$S$19,
IF(LOWER(AW8)=LOWER(Urlaub!$W$20),Urlaub!$S$20,
IF(LOWER(AW8)=LOWER(Urlaub!$W$21),Urlaub!$S$21,
IF(LOWER(AW8)=LOWER(Urlaub!$W$22),Urlaub!$S$22,
IF(LOWER(AW8)=LOWER(Urlaub!$W$23),Urlaub!$S$23,
IF(LOWER(AW8)=LOWER(Urlaub!$W$24),Urlaub!$S$24,""))))))&amp;IF(AND(EXACT(LOWER(AW8),AW8),AW8&lt;&gt;0)," 1/2",""))</f>
        <v/>
      </c>
      <c r="N8" s="53">
        <f t="shared" si="2"/>
        <v>0</v>
      </c>
      <c r="P8" s="55">
        <v>41641</v>
      </c>
      <c r="Q8" s="65">
        <v>0.33333333333333331</v>
      </c>
      <c r="R8" s="63">
        <v>2.0833333333333301E-2</v>
      </c>
      <c r="S8" s="66"/>
      <c r="U8" s="115" t="str">
        <f xml:space="preserve"> "Saldo " &amp; TEXT(B1,"MMMM")</f>
        <v>Saldo Februar</v>
      </c>
      <c r="V8" s="132">
        <f ca="1">SUM(L5:L35)</f>
        <v>-6.6666666666666643</v>
      </c>
      <c r="AU8" t="str">
        <f>IF(AV8=1,VLOOKUP($B8,Feiertage!$B$2:$D$49,3,FALSE),"")</f>
        <v/>
      </c>
      <c r="AV8">
        <f>IF(IFERROR(MATCH($B8,Feiertage!$B$2:$B$49,0)&gt;0,0),1,0)</f>
        <v>0</v>
      </c>
      <c r="AW8" s="22">
        <f>IFERROR(HLOOKUP(DAY(B8),Urlaub!$C$4:$AG$16,MONTH(B8)+1,FALSE),0)</f>
        <v>0</v>
      </c>
      <c r="AX8" s="38">
        <f t="shared" si="3"/>
        <v>0</v>
      </c>
      <c r="AY8" s="7">
        <f t="shared" si="4"/>
        <v>2.0833333333333301E-2</v>
      </c>
      <c r="AZ8" s="5">
        <f t="shared" si="5"/>
        <v>0</v>
      </c>
      <c r="BA8" s="39">
        <f t="shared" si="7"/>
        <v>0</v>
      </c>
      <c r="BB8" s="5">
        <f t="shared" si="6"/>
        <v>0</v>
      </c>
    </row>
    <row r="9" spans="1:54" ht="18.75" x14ac:dyDescent="0.3">
      <c r="B9" s="43">
        <f t="shared" si="8"/>
        <v>41674</v>
      </c>
      <c r="C9" s="44">
        <f t="shared" si="9"/>
        <v>41674</v>
      </c>
      <c r="D9" s="3"/>
      <c r="E9" s="62"/>
      <c r="F9" s="62"/>
      <c r="G9" s="62"/>
      <c r="H9" s="62"/>
      <c r="I9" s="62" t="str">
        <f t="shared" ca="1" si="0"/>
        <v/>
      </c>
      <c r="J9" s="52">
        <f>IF(AND(Feiertage!$G$2&lt;&gt;"ja",AV9=1),IF(AZ9&gt;0,BB9+AZ9,BB9),IF(AZ9=0,0, IF(I9&lt;&gt;"",AZ9-I9,AZ9)))+AX9</f>
        <v>0</v>
      </c>
      <c r="K9" s="62">
        <f>IF(AV9=0,BB9,IF(Feiertage!$G$2="ja","00:00",BB9))</f>
        <v>0.33333333333333331</v>
      </c>
      <c r="L9" s="52">
        <f t="shared" ca="1" si="1"/>
        <v>-0.33333333333333331</v>
      </c>
      <c r="M9" s="50" t="str">
        <f>IF(AV9=1,AU9,IF(LOWER(AW9)=LOWER(Urlaub!$W$19),Urlaub!$S$19,
IF(LOWER(AW9)=LOWER(Urlaub!$W$20),Urlaub!$S$20,
IF(LOWER(AW9)=LOWER(Urlaub!$W$21),Urlaub!$S$21,
IF(LOWER(AW9)=LOWER(Urlaub!$W$22),Urlaub!$S$22,
IF(LOWER(AW9)=LOWER(Urlaub!$W$23),Urlaub!$S$23,
IF(LOWER(AW9)=LOWER(Urlaub!$W$24),Urlaub!$S$24,""))))))&amp;IF(AND(EXACT(LOWER(AW9),AW9),AW9&lt;&gt;0)," 1/2",""))</f>
        <v/>
      </c>
      <c r="N9" s="53">
        <f t="shared" si="2"/>
        <v>0</v>
      </c>
      <c r="P9" s="55">
        <v>41642</v>
      </c>
      <c r="Q9" s="65">
        <v>0.33333333333333331</v>
      </c>
      <c r="R9" s="63">
        <v>2.0833333333333301E-2</v>
      </c>
      <c r="S9" s="66"/>
      <c r="U9" s="131" t="s">
        <v>85</v>
      </c>
      <c r="V9" s="134"/>
      <c r="AU9" t="str">
        <f>IF(AV9=1,VLOOKUP($B9,Feiertage!$B$2:$D$49,3,FALSE),"")</f>
        <v/>
      </c>
      <c r="AV9">
        <f>IF(IFERROR(MATCH($B9,Feiertage!$B$2:$B$49,0)&gt;0,0),1,0)</f>
        <v>0</v>
      </c>
      <c r="AW9" s="22">
        <f>IFERROR(HLOOKUP(DAY(B9),Urlaub!$C$4:$AG$16,MONTH(B9)+1,FALSE),0)</f>
        <v>0</v>
      </c>
      <c r="AX9" s="38">
        <f t="shared" si="3"/>
        <v>0</v>
      </c>
      <c r="AY9" s="7">
        <f t="shared" si="4"/>
        <v>2.0833333333333332E-2</v>
      </c>
      <c r="AZ9" s="5">
        <f t="shared" si="5"/>
        <v>0</v>
      </c>
      <c r="BA9" s="39">
        <f t="shared" si="7"/>
        <v>0</v>
      </c>
      <c r="BB9" s="5">
        <f t="shared" si="6"/>
        <v>0.33333333333333331</v>
      </c>
    </row>
    <row r="10" spans="1:54" ht="21.75" thickBot="1" x14ac:dyDescent="0.4">
      <c r="B10" s="43">
        <f t="shared" si="8"/>
        <v>41675</v>
      </c>
      <c r="C10" s="44">
        <f t="shared" si="9"/>
        <v>41675</v>
      </c>
      <c r="D10" s="3"/>
      <c r="E10" s="62"/>
      <c r="F10" s="62"/>
      <c r="G10" s="62"/>
      <c r="H10" s="62"/>
      <c r="I10" s="62" t="str">
        <f t="shared" ca="1" si="0"/>
        <v/>
      </c>
      <c r="J10" s="52">
        <f>IF(AND(Feiertage!$G$2&lt;&gt;"ja",AV10=1),IF(AZ10&gt;0,BB10+AZ10,BB10),IF(AZ10=0,0, IF(I10&lt;&gt;"",AZ10-I10,AZ10)))+AX10</f>
        <v>0</v>
      </c>
      <c r="K10" s="62">
        <f>IF(AV10=0,BB10,IF(Feiertage!$G$2="ja","00:00",BB10))</f>
        <v>0.33333333333333331</v>
      </c>
      <c r="L10" s="52">
        <f t="shared" ca="1" si="1"/>
        <v>-0.33333333333333331</v>
      </c>
      <c r="M10" s="50" t="str">
        <f>IF(AV10=1,AU10,IF(LOWER(AW10)=LOWER(Urlaub!$W$19),Urlaub!$S$19,
IF(LOWER(AW10)=LOWER(Urlaub!$W$20),Urlaub!$S$20,
IF(LOWER(AW10)=LOWER(Urlaub!$W$21),Urlaub!$S$21,
IF(LOWER(AW10)=LOWER(Urlaub!$W$22),Urlaub!$S$22,
IF(LOWER(AW10)=LOWER(Urlaub!$W$23),Urlaub!$S$23,
IF(LOWER(AW10)=LOWER(Urlaub!$W$24),Urlaub!$S$24,""))))))&amp;IF(AND(EXACT(LOWER(AW10),AW10),AW10&lt;&gt;0)," 1/2",""))</f>
        <v/>
      </c>
      <c r="N10" s="53">
        <f t="shared" si="2"/>
        <v>0</v>
      </c>
      <c r="P10" s="55">
        <v>41643</v>
      </c>
      <c r="Q10" s="65">
        <v>0.33333333333333331</v>
      </c>
      <c r="R10" s="63">
        <v>2.0833333333333301E-2</v>
      </c>
      <c r="S10" s="66"/>
      <c r="U10" s="116" t="str">
        <f xml:space="preserve"> "Übertrag in " &amp;  IF( MONTH(B1)=12, YEAR(B1)+1, TEXT(EDATE(B1,1),"MMMM"))</f>
        <v>Übertrag in März</v>
      </c>
      <c r="V10" s="133">
        <f ca="1">IF(V5="",0,V5)+V8+V9</f>
        <v>-13.999999999999995</v>
      </c>
      <c r="AU10" t="str">
        <f>IF(AV10=1,VLOOKUP($B10,Feiertage!$B$2:$D$49,3,FALSE),"")</f>
        <v/>
      </c>
      <c r="AV10">
        <f>IF(IFERROR(MATCH($B10,Feiertage!$B$2:$B$49,0)&gt;0,0),1,0)</f>
        <v>0</v>
      </c>
      <c r="AW10" s="22">
        <f>IFERROR(HLOOKUP(DAY(B10),Urlaub!$C$4:$AG$16,MONTH(B10)+1,FALSE),0)</f>
        <v>0</v>
      </c>
      <c r="AX10" s="38">
        <f t="shared" si="3"/>
        <v>0</v>
      </c>
      <c r="AY10" s="7">
        <f t="shared" si="4"/>
        <v>2.0833333333333332E-2</v>
      </c>
      <c r="AZ10" s="5">
        <f t="shared" si="5"/>
        <v>0</v>
      </c>
      <c r="BA10" s="39">
        <f t="shared" si="7"/>
        <v>0</v>
      </c>
      <c r="BB10" s="5">
        <f t="shared" si="6"/>
        <v>0.33333333333333331</v>
      </c>
    </row>
    <row r="11" spans="1:54" ht="18.75" x14ac:dyDescent="0.3">
      <c r="B11" s="43">
        <f t="shared" si="8"/>
        <v>41676</v>
      </c>
      <c r="C11" s="44">
        <f t="shared" si="9"/>
        <v>41676</v>
      </c>
      <c r="D11" s="3"/>
      <c r="E11" s="62"/>
      <c r="F11" s="62"/>
      <c r="G11" s="62"/>
      <c r="H11" s="62"/>
      <c r="I11" s="62" t="str">
        <f t="shared" ca="1" si="0"/>
        <v/>
      </c>
      <c r="J11" s="52">
        <f>IF(AND(Feiertage!$G$2&lt;&gt;"ja",AV11=1),IF(AZ11&gt;0,BB11+AZ11,BB11),IF(AZ11=0,0, IF(I11&lt;&gt;"",AZ11-I11,AZ11)))+AX11</f>
        <v>0</v>
      </c>
      <c r="K11" s="62">
        <f>IF(AV11=0,BB11,IF(Feiertage!$G$2="ja","00:00",BB11))</f>
        <v>0.33333333333333331</v>
      </c>
      <c r="L11" s="52">
        <f t="shared" ca="1" si="1"/>
        <v>-0.33333333333333331</v>
      </c>
      <c r="M11" s="50" t="str">
        <f>IF(AV11=1,AU11,IF(LOWER(AW11)=LOWER(Urlaub!$W$19),Urlaub!$S$19,
IF(LOWER(AW11)=LOWER(Urlaub!$W$20),Urlaub!$S$20,
IF(LOWER(AW11)=LOWER(Urlaub!$W$21),Urlaub!$S$21,
IF(LOWER(AW11)=LOWER(Urlaub!$W$22),Urlaub!$S$22,
IF(LOWER(AW11)=LOWER(Urlaub!$W$23),Urlaub!$S$23,
IF(LOWER(AW11)=LOWER(Urlaub!$W$24),Urlaub!$S$24,""))))))&amp;IF(AND(EXACT(LOWER(AW11),AW11),AW11&lt;&gt;0)," 1/2",""))</f>
        <v/>
      </c>
      <c r="N11" s="53">
        <f t="shared" si="2"/>
        <v>0</v>
      </c>
      <c r="O11" s="21"/>
      <c r="P11" s="79">
        <v>41644</v>
      </c>
      <c r="Q11" s="67">
        <v>0</v>
      </c>
      <c r="R11" s="63">
        <v>2.0833333333333301E-2</v>
      </c>
      <c r="S11" s="66"/>
      <c r="AU11" t="str">
        <f>IF(AV11=1,VLOOKUP($B11,Feiertage!$B$2:$D$49,3,FALSE),"")</f>
        <v/>
      </c>
      <c r="AV11">
        <f>IF(IFERROR(MATCH($B11,Feiertage!$B$2:$B$49,0)&gt;0,0),1,0)</f>
        <v>0</v>
      </c>
      <c r="AW11" s="22">
        <f>IFERROR(HLOOKUP(DAY(B11),Urlaub!$C$4:$AG$16,MONTH(B11)+1,FALSE),0)</f>
        <v>0</v>
      </c>
      <c r="AX11" s="38">
        <f t="shared" si="3"/>
        <v>0</v>
      </c>
      <c r="AY11" s="7">
        <f t="shared" si="4"/>
        <v>2.0833333333333301E-2</v>
      </c>
      <c r="AZ11" s="5">
        <f>IF(F11,IF(E11,IF(E11&gt;F11,F11+"24:00"-E11,F11-E11),0),0)+IF(G11,IF(G11,IF(G11&gt;H11,H11+"24:00"-G11,H11-G11),0),0)</f>
        <v>0</v>
      </c>
      <c r="BA11" s="39">
        <f t="shared" si="7"/>
        <v>0</v>
      </c>
      <c r="BB11" s="5">
        <f t="shared" si="6"/>
        <v>0.33333333333333331</v>
      </c>
    </row>
    <row r="12" spans="1:54" ht="19.5" thickBot="1" x14ac:dyDescent="0.35">
      <c r="B12" s="43">
        <f t="shared" si="8"/>
        <v>41677</v>
      </c>
      <c r="C12" s="44">
        <f t="shared" si="9"/>
        <v>41677</v>
      </c>
      <c r="D12" s="3"/>
      <c r="E12" s="62"/>
      <c r="F12" s="62"/>
      <c r="G12" s="62"/>
      <c r="H12" s="62"/>
      <c r="I12" s="62" t="str">
        <f t="shared" ca="1" si="0"/>
        <v/>
      </c>
      <c r="J12" s="52">
        <f>IF(AND(Feiertage!$G$2&lt;&gt;"ja",AV12=1),IF(AZ12&gt;0,BB12+AZ12,BB12),IF(AZ12=0,0, IF(I12&lt;&gt;"",AZ12-I12,AZ12)))+AX12</f>
        <v>0</v>
      </c>
      <c r="K12" s="62">
        <f>IF(AV12=0,BB12,IF(Feiertage!$G$2="ja","00:00",BB12))</f>
        <v>0.33333333333333331</v>
      </c>
      <c r="L12" s="52">
        <f t="shared" ca="1" si="1"/>
        <v>-0.33333333333333331</v>
      </c>
      <c r="M12" s="50" t="str">
        <f>IF(AV12=1,AU12,IF(LOWER(AW12)=LOWER(Urlaub!$W$19),Urlaub!$S$19,
IF(LOWER(AW12)=LOWER(Urlaub!$W$20),Urlaub!$S$20,
IF(LOWER(AW12)=LOWER(Urlaub!$W$21),Urlaub!$S$21,
IF(LOWER(AW12)=LOWER(Urlaub!$W$22),Urlaub!$S$22,
IF(LOWER(AW12)=LOWER(Urlaub!$W$23),Urlaub!$S$23,
IF(LOWER(AW12)=LOWER(Urlaub!$W$24),Urlaub!$S$24,""))))))&amp;IF(AND(EXACT(LOWER(AW12),AW12),AW12&lt;&gt;0)," 1/2",""))</f>
        <v/>
      </c>
      <c r="N12" s="53">
        <f t="shared" si="2"/>
        <v>0</v>
      </c>
      <c r="P12" s="80">
        <v>41645</v>
      </c>
      <c r="Q12" s="68">
        <v>0</v>
      </c>
      <c r="R12" s="110">
        <v>2.0833333333333301E-2</v>
      </c>
      <c r="S12" s="69"/>
      <c r="AU12" t="str">
        <f>IF(AV12=1,VLOOKUP($B12,Feiertage!$B$2:$D$49,3,FALSE),"")</f>
        <v/>
      </c>
      <c r="AV12">
        <f>IF(IFERROR(MATCH($B12,Feiertage!$B$2:$B$49,0)&gt;0,0),1,0)</f>
        <v>0</v>
      </c>
      <c r="AW12" s="22">
        <f>IFERROR(HLOOKUP(DAY(B12),Urlaub!$C$4:$AG$16,MONTH(B12)+1,FALSE),0)</f>
        <v>0</v>
      </c>
      <c r="AX12" s="38">
        <f t="shared" si="3"/>
        <v>0</v>
      </c>
      <c r="AY12" s="7">
        <f t="shared" si="4"/>
        <v>2.0833333333333301E-2</v>
      </c>
      <c r="AZ12" s="5">
        <f>IF(F12,IF(E12,IF(E12&gt;F12,F12+"24:00"-E12,F12-E12),0),0)+IF(G12,IF(G12,IF(G12&gt;H12,H12+"24:00"-G12,H12-G12),0),0)</f>
        <v>0</v>
      </c>
      <c r="BA12" s="39">
        <f t="shared" si="7"/>
        <v>0</v>
      </c>
      <c r="BB12" s="5">
        <f t="shared" si="6"/>
        <v>0.33333333333333331</v>
      </c>
    </row>
    <row r="13" spans="1:54" ht="19.5" thickBot="1" x14ac:dyDescent="0.35">
      <c r="B13" s="43">
        <f t="shared" si="8"/>
        <v>41678</v>
      </c>
      <c r="C13" s="44">
        <f t="shared" si="9"/>
        <v>41678</v>
      </c>
      <c r="D13" s="3"/>
      <c r="E13" s="62"/>
      <c r="F13" s="62"/>
      <c r="G13" s="62"/>
      <c r="H13" s="62"/>
      <c r="I13" s="62" t="str">
        <f t="shared" ca="1" si="0"/>
        <v/>
      </c>
      <c r="J13" s="52">
        <f>IF(AND(Feiertage!$G$2&lt;&gt;"ja",AV13=1),IF(AZ13&gt;0,BB13+AZ13,BB13),IF(AZ13=0,0, IF(I13&lt;&gt;"",AZ13-I13,AZ13)))+AX13</f>
        <v>0</v>
      </c>
      <c r="K13" s="62">
        <f>IF(AV13=0,BB13,IF(Feiertage!$G$2="ja","00:00",BB13))</f>
        <v>0.33333333333333331</v>
      </c>
      <c r="L13" s="52">
        <f t="shared" ca="1" si="1"/>
        <v>-0.33333333333333331</v>
      </c>
      <c r="M13" s="50" t="str">
        <f>IF(AV13=1,AU13,IF(LOWER(AW13)=LOWER(Urlaub!$W$19),Urlaub!$S$19,
IF(LOWER(AW13)=LOWER(Urlaub!$W$20),Urlaub!$S$20,
IF(LOWER(AW13)=LOWER(Urlaub!$W$21),Urlaub!$S$21,
IF(LOWER(AW13)=LOWER(Urlaub!$W$22),Urlaub!$S$22,
IF(LOWER(AW13)=LOWER(Urlaub!$W$23),Urlaub!$S$23,
IF(LOWER(AW13)=LOWER(Urlaub!$W$24),Urlaub!$S$24,""))))))&amp;IF(AND(EXACT(LOWER(AW13),AW13),AW13&lt;&gt;0)," 1/2",""))</f>
        <v/>
      </c>
      <c r="N13" s="53">
        <f t="shared" si="2"/>
        <v>0</v>
      </c>
      <c r="P13" s="56" t="s">
        <v>9</v>
      </c>
      <c r="Q13" s="57">
        <f>SUM(Q6:Q12)</f>
        <v>1.6666666666666665</v>
      </c>
      <c r="R13" s="4"/>
      <c r="Y13" s="7"/>
      <c r="AU13" t="str">
        <f>IF(AV13=1,VLOOKUP($B13,Feiertage!$B$2:$D$49,3,FALSE),"")</f>
        <v/>
      </c>
      <c r="AV13">
        <f>IF(IFERROR(MATCH($B13,Feiertage!$B$2:$B$49,0)&gt;0,0),1,0)</f>
        <v>0</v>
      </c>
      <c r="AW13" s="22">
        <f>IFERROR(HLOOKUP(DAY(B13),Urlaub!$C$4:$AG$16,MONTH(B13)+1,FALSE),0)</f>
        <v>0</v>
      </c>
      <c r="AX13" s="38">
        <f t="shared" si="3"/>
        <v>0</v>
      </c>
      <c r="AY13" s="7">
        <f t="shared" si="4"/>
        <v>2.0833333333333301E-2</v>
      </c>
      <c r="AZ13" s="5">
        <f t="shared" si="5"/>
        <v>0</v>
      </c>
      <c r="BA13" s="39">
        <f t="shared" si="7"/>
        <v>0</v>
      </c>
      <c r="BB13" s="5">
        <f t="shared" si="6"/>
        <v>0.33333333333333331</v>
      </c>
    </row>
    <row r="14" spans="1:54" ht="18.75" x14ac:dyDescent="0.3">
      <c r="B14" s="43">
        <f t="shared" si="8"/>
        <v>41679</v>
      </c>
      <c r="C14" s="44">
        <f t="shared" si="9"/>
        <v>41679</v>
      </c>
      <c r="D14" s="3"/>
      <c r="E14" s="62"/>
      <c r="F14" s="62"/>
      <c r="G14" s="62"/>
      <c r="H14" s="62"/>
      <c r="I14" s="62" t="str">
        <f t="shared" ca="1" si="0"/>
        <v/>
      </c>
      <c r="J14" s="52">
        <f>IF(AND(Feiertage!$G$2&lt;&gt;"ja",AV14=1),IF(AZ14&gt;0,BB14+AZ14,BB14),IF(AZ14=0,0, IF(I14&lt;&gt;"",AZ14-I14,AZ14)))+AX14</f>
        <v>0</v>
      </c>
      <c r="K14" s="62">
        <f>IF(AV14=0,BB14,IF(Feiertage!$G$2="ja","00:00",BB14))</f>
        <v>0</v>
      </c>
      <c r="L14" s="52" t="str">
        <f t="shared" ca="1" si="1"/>
        <v/>
      </c>
      <c r="M14" s="50" t="str">
        <f>IF(AV14=1,AU14,IF(LOWER(AW14)=LOWER(Urlaub!$W$19),Urlaub!$S$19,
IF(LOWER(AW14)=LOWER(Urlaub!$W$20),Urlaub!$S$20,
IF(LOWER(AW14)=LOWER(Urlaub!$W$21),Urlaub!$S$21,
IF(LOWER(AW14)=LOWER(Urlaub!$W$22),Urlaub!$S$22,
IF(LOWER(AW14)=LOWER(Urlaub!$W$23),Urlaub!$S$23,
IF(LOWER(AW14)=LOWER(Urlaub!$W$24),Urlaub!$S$24,""))))))&amp;IF(AND(EXACT(LOWER(AW14),AW14),AW14&lt;&gt;0)," 1/2",""))</f>
        <v/>
      </c>
      <c r="N14" s="53">
        <f t="shared" si="2"/>
        <v>0</v>
      </c>
      <c r="O14" s="6"/>
      <c r="AU14" t="str">
        <f>IF(AV14=1,VLOOKUP($B14,Feiertage!$B$2:$D$49,3,FALSE),"")</f>
        <v/>
      </c>
      <c r="AV14">
        <f>IF(IFERROR(MATCH($B14,Feiertage!$B$2:$B$49,0)&gt;0,0),1,0)</f>
        <v>0</v>
      </c>
      <c r="AW14" s="22">
        <f>IFERROR(HLOOKUP(DAY(B14),Urlaub!$C$4:$AG$16,MONTH(B14)+1,FALSE),0)</f>
        <v>0</v>
      </c>
      <c r="AX14" s="38">
        <f t="shared" si="3"/>
        <v>0</v>
      </c>
      <c r="AY14" s="7">
        <f t="shared" si="4"/>
        <v>2.0833333333333301E-2</v>
      </c>
      <c r="AZ14" s="5">
        <f t="shared" si="5"/>
        <v>0</v>
      </c>
      <c r="BA14" s="39">
        <f t="shared" si="7"/>
        <v>0</v>
      </c>
      <c r="BB14" s="5">
        <f t="shared" si="6"/>
        <v>0</v>
      </c>
    </row>
    <row r="15" spans="1:54" ht="19.5" thickBot="1" x14ac:dyDescent="0.35">
      <c r="B15" s="43">
        <f t="shared" si="8"/>
        <v>41680</v>
      </c>
      <c r="C15" s="44">
        <f t="shared" si="9"/>
        <v>41680</v>
      </c>
      <c r="D15" s="3"/>
      <c r="E15" s="62"/>
      <c r="F15" s="62"/>
      <c r="G15" s="62"/>
      <c r="H15" s="62"/>
      <c r="I15" s="62" t="str">
        <f t="shared" ca="1" si="0"/>
        <v/>
      </c>
      <c r="J15" s="52">
        <f>IF(AND(Feiertage!$G$2&lt;&gt;"ja",AV15=1),IF(AZ15&gt;0,BB15+AZ15,BB15),IF(AZ15=0,0, IF(I15&lt;&gt;"",AZ15-I15,AZ15)))+AX15</f>
        <v>0</v>
      </c>
      <c r="K15" s="62">
        <f>IF(AV15=0,BB15,IF(Feiertage!$G$2="ja","00:00",BB15))</f>
        <v>0</v>
      </c>
      <c r="L15" s="52" t="str">
        <f t="shared" ca="1" si="1"/>
        <v/>
      </c>
      <c r="M15" s="50" t="str">
        <f>IF(AV15=1,AU15,IF(LOWER(AW15)=LOWER(Urlaub!$W$19),Urlaub!$S$19,
IF(LOWER(AW15)=LOWER(Urlaub!$W$20),Urlaub!$S$20,
IF(LOWER(AW15)=LOWER(Urlaub!$W$21),Urlaub!$S$21,
IF(LOWER(AW15)=LOWER(Urlaub!$W$22),Urlaub!$S$22,
IF(LOWER(AW15)=LOWER(Urlaub!$W$23),Urlaub!$S$23,
IF(LOWER(AW15)=LOWER(Urlaub!$W$24),Urlaub!$S$24,""))))))&amp;IF(AND(EXACT(LOWER(AW15),AW15),AW15&lt;&gt;0)," 1/2",""))</f>
        <v/>
      </c>
      <c r="N15" s="53">
        <f t="shared" si="2"/>
        <v>0</v>
      </c>
      <c r="P15" s="153" t="s">
        <v>86</v>
      </c>
      <c r="Q15" s="154"/>
      <c r="R15" s="154"/>
      <c r="S15" s="154"/>
      <c r="T15" s="154"/>
      <c r="U15" s="154"/>
      <c r="V15" s="154"/>
      <c r="AU15" t="str">
        <f>IF(AV15=1,VLOOKUP($B15,Feiertage!$B$2:$D$49,3,FALSE),"")</f>
        <v/>
      </c>
      <c r="AV15">
        <f>IF(IFERROR(MATCH($B15,Feiertage!$B$2:$B$49,0)&gt;0,0),1,0)</f>
        <v>0</v>
      </c>
      <c r="AW15" s="22">
        <f>IFERROR(HLOOKUP(DAY(B15),Urlaub!$C$4:$AG$16,MONTH(B15)+1,FALSE),0)</f>
        <v>0</v>
      </c>
      <c r="AX15" s="38">
        <f t="shared" si="3"/>
        <v>0</v>
      </c>
      <c r="AY15" s="7">
        <f t="shared" si="4"/>
        <v>2.0833333333333301E-2</v>
      </c>
      <c r="AZ15" s="5">
        <f t="shared" si="5"/>
        <v>0</v>
      </c>
      <c r="BA15" s="39">
        <f t="shared" si="7"/>
        <v>0</v>
      </c>
      <c r="BB15" s="5">
        <f t="shared" si="6"/>
        <v>0</v>
      </c>
    </row>
    <row r="16" spans="1:54" ht="18.75" x14ac:dyDescent="0.3">
      <c r="B16" s="43">
        <f t="shared" si="8"/>
        <v>41681</v>
      </c>
      <c r="C16" s="44">
        <f t="shared" si="9"/>
        <v>41681</v>
      </c>
      <c r="D16" s="3"/>
      <c r="E16" s="62"/>
      <c r="F16" s="62"/>
      <c r="G16" s="62"/>
      <c r="H16" s="62"/>
      <c r="I16" s="62" t="str">
        <f t="shared" ca="1" si="0"/>
        <v/>
      </c>
      <c r="J16" s="52">
        <f>IF(AND(Feiertage!$G$2&lt;&gt;"ja",AV16=1),IF(AZ16&gt;0,BB16+AZ16,BB16),IF(AZ16=0,0, IF(I16&lt;&gt;"",AZ16-I16,AZ16)))+AX16</f>
        <v>0</v>
      </c>
      <c r="K16" s="62">
        <f>IF(AV16=0,BB16,IF(Feiertage!$G$2="ja","00:00",BB16))</f>
        <v>0.33333333333333331</v>
      </c>
      <c r="L16" s="52">
        <f t="shared" ca="1" si="1"/>
        <v>-0.33333333333333331</v>
      </c>
      <c r="M16" s="50" t="str">
        <f>IF(AV16=1,AU16,IF(LOWER(AW16)=LOWER(Urlaub!$W$19),Urlaub!$S$19,
IF(LOWER(AW16)=LOWER(Urlaub!$W$20),Urlaub!$S$20,
IF(LOWER(AW16)=LOWER(Urlaub!$W$21),Urlaub!$S$21,
IF(LOWER(AW16)=LOWER(Urlaub!$W$22),Urlaub!$S$22,
IF(LOWER(AW16)=LOWER(Urlaub!$W$23),Urlaub!$S$23,
IF(LOWER(AW16)=LOWER(Urlaub!$W$24),Urlaub!$S$24,""))))))&amp;IF(AND(EXACT(LOWER(AW16),AW16),AW16&lt;&gt;0)," 1/2",""))</f>
        <v/>
      </c>
      <c r="N16" s="53">
        <f t="shared" si="2"/>
        <v>0</v>
      </c>
      <c r="P16" s="155"/>
      <c r="Q16" s="156"/>
      <c r="R16" s="156"/>
      <c r="S16" s="156"/>
      <c r="T16" s="156"/>
      <c r="U16" s="156"/>
      <c r="V16" s="157"/>
      <c r="AU16" t="str">
        <f>IF(AV16=1,VLOOKUP($B16,Feiertage!$B$2:$D$49,3,FALSE),"")</f>
        <v/>
      </c>
      <c r="AV16">
        <f>IF(IFERROR(MATCH($B16,Feiertage!$B$2:$B$49,0)&gt;0,0),1,0)</f>
        <v>0</v>
      </c>
      <c r="AW16" s="22">
        <f>IFERROR(HLOOKUP(DAY(B16),Urlaub!$C$4:$AG$16,MONTH(B16)+1,FALSE),0)</f>
        <v>0</v>
      </c>
      <c r="AX16" s="38">
        <f t="shared" si="3"/>
        <v>0</v>
      </c>
      <c r="AY16" s="7">
        <f t="shared" si="4"/>
        <v>2.0833333333333332E-2</v>
      </c>
      <c r="AZ16" s="5">
        <f t="shared" si="5"/>
        <v>0</v>
      </c>
      <c r="BA16" s="39">
        <f t="shared" si="7"/>
        <v>0</v>
      </c>
      <c r="BB16" s="5">
        <f t="shared" si="6"/>
        <v>0.33333333333333331</v>
      </c>
    </row>
    <row r="17" spans="2:54" ht="18.75" x14ac:dyDescent="0.3">
      <c r="B17" s="43">
        <f t="shared" si="8"/>
        <v>41682</v>
      </c>
      <c r="C17" s="44">
        <f t="shared" si="9"/>
        <v>41682</v>
      </c>
      <c r="D17" s="3"/>
      <c r="E17" s="62"/>
      <c r="F17" s="62"/>
      <c r="G17" s="62"/>
      <c r="H17" s="62"/>
      <c r="I17" s="62" t="str">
        <f t="shared" ca="1" si="0"/>
        <v/>
      </c>
      <c r="J17" s="52">
        <f>IF(AND(Feiertage!$G$2&lt;&gt;"ja",AV17=1),IF(AZ17&gt;0,BB17+AZ17,BB17),IF(AZ17=0,0, IF(I17&lt;&gt;"",AZ17-I17,AZ17)))+AX17</f>
        <v>0</v>
      </c>
      <c r="K17" s="62">
        <f>IF(AV17=0,BB17,IF(Feiertage!$G$2="ja","00:00",BB17))</f>
        <v>0.33333333333333331</v>
      </c>
      <c r="L17" s="52">
        <f t="shared" ca="1" si="1"/>
        <v>-0.33333333333333331</v>
      </c>
      <c r="M17" s="50" t="str">
        <f>IF(AV17=1,AU17,IF(LOWER(AW17)=LOWER(Urlaub!$W$19),Urlaub!$S$19,
IF(LOWER(AW17)=LOWER(Urlaub!$W$20),Urlaub!$S$20,
IF(LOWER(AW17)=LOWER(Urlaub!$W$21),Urlaub!$S$21,
IF(LOWER(AW17)=LOWER(Urlaub!$W$22),Urlaub!$S$22,
IF(LOWER(AW17)=LOWER(Urlaub!$W$23),Urlaub!$S$23,
IF(LOWER(AW17)=LOWER(Urlaub!$W$24),Urlaub!$S$24,""))))))&amp;IF(AND(EXACT(LOWER(AW17),AW17),AW17&lt;&gt;0)," 1/2",""))</f>
        <v/>
      </c>
      <c r="N17" s="53">
        <f t="shared" si="2"/>
        <v>0</v>
      </c>
      <c r="P17" s="158"/>
      <c r="Q17" s="159"/>
      <c r="R17" s="159"/>
      <c r="S17" s="159"/>
      <c r="T17" s="159"/>
      <c r="U17" s="159"/>
      <c r="V17" s="160"/>
      <c r="AU17" t="str">
        <f>IF(AV17=1,VLOOKUP($B17,Feiertage!$B$2:$D$49,3,FALSE),"")</f>
        <v/>
      </c>
      <c r="AV17">
        <f>IF(IFERROR(MATCH($B17,Feiertage!$B$2:$B$49,0)&gt;0,0),1,0)</f>
        <v>0</v>
      </c>
      <c r="AW17" s="22">
        <f>IFERROR(HLOOKUP(DAY(B17),Urlaub!$C$4:$AG$16,MONTH(B17)+1,FALSE),0)</f>
        <v>0</v>
      </c>
      <c r="AX17" s="38">
        <f t="shared" ref="AX17:AX35" si="10">IFERROR(IF(OR(AW17=0,AW17="G"),0,IF(EXACT(LOWER(AW17),AW17),0.5*BB17,BB17)),"")</f>
        <v>0</v>
      </c>
      <c r="AY17" s="7">
        <f t="shared" si="4"/>
        <v>2.0833333333333332E-2</v>
      </c>
      <c r="AZ17" s="5">
        <f t="shared" si="5"/>
        <v>0</v>
      </c>
      <c r="BA17" s="39">
        <f t="shared" si="7"/>
        <v>0</v>
      </c>
      <c r="BB17" s="5">
        <f t="shared" si="6"/>
        <v>0.33333333333333331</v>
      </c>
    </row>
    <row r="18" spans="2:54" ht="19.5" thickBot="1" x14ac:dyDescent="0.35">
      <c r="B18" s="43">
        <f t="shared" si="8"/>
        <v>41683</v>
      </c>
      <c r="C18" s="44">
        <f t="shared" si="9"/>
        <v>41683</v>
      </c>
      <c r="D18" s="3"/>
      <c r="E18" s="62"/>
      <c r="F18" s="62"/>
      <c r="G18" s="62"/>
      <c r="H18" s="62"/>
      <c r="I18" s="62" t="str">
        <f t="shared" ca="1" si="0"/>
        <v/>
      </c>
      <c r="J18" s="52">
        <f>IF(AND(Feiertage!$G$2&lt;&gt;"ja",AV18=1),IF(AZ18&gt;0,BB18+AZ18,BB18),IF(AZ18=0,0, IF(I18&lt;&gt;"",AZ18-I18,AZ18)))+AX18</f>
        <v>0</v>
      </c>
      <c r="K18" s="62">
        <f>IF(AV18=0,BB18,IF(Feiertage!$G$2="ja","00:00",BB18))</f>
        <v>0.33333333333333331</v>
      </c>
      <c r="L18" s="52">
        <f t="shared" ca="1" si="1"/>
        <v>-0.33333333333333331</v>
      </c>
      <c r="M18" s="50" t="str">
        <f>IF(AV18=1,AU18,IF(LOWER(AW18)=LOWER(Urlaub!$W$19),Urlaub!$S$19,
IF(LOWER(AW18)=LOWER(Urlaub!$W$20),Urlaub!$S$20,
IF(LOWER(AW18)=LOWER(Urlaub!$W$21),Urlaub!$S$21,
IF(LOWER(AW18)=LOWER(Urlaub!$W$22),Urlaub!$S$22,
IF(LOWER(AW18)=LOWER(Urlaub!$W$23),Urlaub!$S$23,
IF(LOWER(AW18)=LOWER(Urlaub!$W$24),Urlaub!$S$24,""))))))&amp;IF(AND(EXACT(LOWER(AW18),AW18),AW18&lt;&gt;0)," 1/2",""))</f>
        <v/>
      </c>
      <c r="N18" s="53">
        <f t="shared" si="2"/>
        <v>0</v>
      </c>
      <c r="P18" s="161"/>
      <c r="Q18" s="162"/>
      <c r="R18" s="162"/>
      <c r="S18" s="162"/>
      <c r="T18" s="162"/>
      <c r="U18" s="162"/>
      <c r="V18" s="163"/>
      <c r="AU18" t="str">
        <f>IF(AV18=1,VLOOKUP($B18,Feiertage!$B$2:$D$49,3,FALSE),"")</f>
        <v/>
      </c>
      <c r="AV18">
        <f>IF(IFERROR(MATCH($B18,Feiertage!$B$2:$B$49,0)&gt;0,0),1,0)</f>
        <v>0</v>
      </c>
      <c r="AW18" s="22">
        <f>IFERROR(HLOOKUP(DAY(B18),Urlaub!$C$4:$AG$16,MONTH(B18)+1,FALSE),0)</f>
        <v>0</v>
      </c>
      <c r="AX18" s="38">
        <f t="shared" si="10"/>
        <v>0</v>
      </c>
      <c r="AY18" s="7">
        <f t="shared" si="4"/>
        <v>2.0833333333333301E-2</v>
      </c>
      <c r="AZ18" s="5">
        <f t="shared" si="5"/>
        <v>0</v>
      </c>
      <c r="BA18" s="39">
        <f t="shared" si="7"/>
        <v>0</v>
      </c>
      <c r="BB18" s="5">
        <f t="shared" si="6"/>
        <v>0.33333333333333331</v>
      </c>
    </row>
    <row r="19" spans="2:54" ht="18.75" x14ac:dyDescent="0.3">
      <c r="B19" s="43">
        <f t="shared" si="8"/>
        <v>41684</v>
      </c>
      <c r="C19" s="44">
        <f t="shared" si="9"/>
        <v>41684</v>
      </c>
      <c r="D19" s="3"/>
      <c r="E19" s="62"/>
      <c r="F19" s="62"/>
      <c r="G19" s="62"/>
      <c r="H19" s="62"/>
      <c r="I19" s="62" t="str">
        <f t="shared" ca="1" si="0"/>
        <v/>
      </c>
      <c r="J19" s="52">
        <f>IF(AND(Feiertage!$G$2&lt;&gt;"ja",AV19=1),IF(AZ19&gt;0,BB19+AZ19,BB19),IF(AZ19=0,0, IF(I19&lt;&gt;"",AZ19-I19,AZ19)))+AX19</f>
        <v>0</v>
      </c>
      <c r="K19" s="62">
        <f>IF(AV19=0,BB19,IF(Feiertage!$G$2="ja","00:00",BB19))</f>
        <v>0.33333333333333331</v>
      </c>
      <c r="L19" s="52">
        <f ca="1">IF(OR(B19&lt;=TODAY(),J19,AW19="G"),IF(J19&lt;&gt;"",IF(J19-K19=0,"",J19-K19),IF(K19&lt;&gt;"",-K19,"")),"")</f>
        <v>-0.33333333333333331</v>
      </c>
      <c r="M19" s="50" t="str">
        <f>IF(AV19=1,AU19,IF(LOWER(AW19)=LOWER(Urlaub!$W$19),Urlaub!$S$19,
IF(LOWER(AW19)=LOWER(Urlaub!$W$20),Urlaub!$S$20,
IF(LOWER(AW19)=LOWER(Urlaub!$W$21),Urlaub!$S$21,
IF(LOWER(AW19)=LOWER(Urlaub!$W$22),Urlaub!$S$22,
IF(LOWER(AW19)=LOWER(Urlaub!$W$23),Urlaub!$S$23,
IF(LOWER(AW19)=LOWER(Urlaub!$W$24),Urlaub!$S$24,""))))))&amp;IF(AND(EXACT(LOWER(AW19),AW19),AW19&lt;&gt;0)," 1/2",""))</f>
        <v/>
      </c>
      <c r="N19" s="53">
        <f t="shared" si="2"/>
        <v>0</v>
      </c>
      <c r="AU19" t="str">
        <f>IF(AV19=1,VLOOKUP($B19,Feiertage!$B$2:$D$49,3,FALSE),"")</f>
        <v/>
      </c>
      <c r="AV19">
        <f>IF(IFERROR(MATCH($B19,Feiertage!$B$2:$B$49,0)&gt;0,0),1,0)</f>
        <v>0</v>
      </c>
      <c r="AW19" s="22">
        <f>IFERROR(HLOOKUP(DAY(B19),Urlaub!$C$4:$AG$16,MONTH(B19)+1,FALSE),0)</f>
        <v>0</v>
      </c>
      <c r="AX19" s="38">
        <f>IFERROR(IF(OR(AW19=0,AW19="G"),0,IF(EXACT(LOWER(AW19),AW19),0.5*BB19,BB19)),"")</f>
        <v>0</v>
      </c>
      <c r="AY19" s="7">
        <f t="shared" si="4"/>
        <v>2.0833333333333301E-2</v>
      </c>
      <c r="AZ19" s="5">
        <f t="shared" si="5"/>
        <v>0</v>
      </c>
      <c r="BA19" s="39">
        <f t="shared" si="7"/>
        <v>0</v>
      </c>
      <c r="BB19" s="5">
        <f t="shared" si="6"/>
        <v>0.33333333333333331</v>
      </c>
    </row>
    <row r="20" spans="2:54" ht="18.75" x14ac:dyDescent="0.3">
      <c r="B20" s="43">
        <f t="shared" si="8"/>
        <v>41685</v>
      </c>
      <c r="C20" s="44">
        <f t="shared" si="9"/>
        <v>41685</v>
      </c>
      <c r="D20" s="3"/>
      <c r="E20" s="62"/>
      <c r="F20" s="62"/>
      <c r="G20" s="62"/>
      <c r="H20" s="62"/>
      <c r="I20" s="62" t="str">
        <f t="shared" ca="1" si="0"/>
        <v/>
      </c>
      <c r="J20" s="52">
        <f>IF(AND(Feiertage!$G$2&lt;&gt;"ja",AV20=1),IF(AZ20&gt;0,BB20+AZ20,BB20),IF(AZ20=0,0, IF(I20&lt;&gt;"",AZ20-I20,AZ20)))+AX20</f>
        <v>0</v>
      </c>
      <c r="K20" s="62">
        <f>IF(AV20=0,BB20,IF(Feiertage!$G$2="ja","00:00",BB20))</f>
        <v>0.33333333333333331</v>
      </c>
      <c r="L20" s="52">
        <f t="shared" ref="L20:L35" ca="1" si="11">IF(OR(B20&lt;=TODAY(),J20,AW20="G"),IF(J20&lt;&gt;"",IF(J20-K20=0,"",J20-K20),IF(K20&lt;&gt;"",-K20,"")),"")</f>
        <v>-0.33333333333333331</v>
      </c>
      <c r="M20" s="50" t="str">
        <f>IF(AV20=1,AU20,IF(LOWER(AW20)=LOWER(Urlaub!$W$19),Urlaub!$S$19,
IF(LOWER(AW20)=LOWER(Urlaub!$W$20),Urlaub!$S$20,
IF(LOWER(AW20)=LOWER(Urlaub!$W$21),Urlaub!$S$21,
IF(LOWER(AW20)=LOWER(Urlaub!$W$22),Urlaub!$S$22,
IF(LOWER(AW20)=LOWER(Urlaub!$W$23),Urlaub!$S$23,
IF(LOWER(AW20)=LOWER(Urlaub!$W$24),Urlaub!$S$24,""))))))&amp;IF(AND(EXACT(LOWER(AW20),AW20),AW20&lt;&gt;0)," 1/2",""))</f>
        <v/>
      </c>
      <c r="N20" s="53">
        <f t="shared" si="2"/>
        <v>0</v>
      </c>
      <c r="AU20" t="str">
        <f>IF(AV20=1,VLOOKUP($B20,Feiertage!$B$2:$D$49,3,FALSE),"")</f>
        <v/>
      </c>
      <c r="AV20">
        <f>IF(IFERROR(MATCH($B20,Feiertage!$B$2:$B$49,0)&gt;0,0),1,0)</f>
        <v>0</v>
      </c>
      <c r="AW20" s="22">
        <f>IFERROR(HLOOKUP(DAY(B20),Urlaub!$C$4:$AG$16,MONTH(B20)+1,FALSE),0)</f>
        <v>0</v>
      </c>
      <c r="AX20" s="38">
        <f t="shared" si="10"/>
        <v>0</v>
      </c>
      <c r="AY20" s="7">
        <f t="shared" si="4"/>
        <v>2.0833333333333301E-2</v>
      </c>
      <c r="AZ20" s="5">
        <f t="shared" si="5"/>
        <v>0</v>
      </c>
      <c r="BA20" s="39">
        <f t="shared" si="7"/>
        <v>0</v>
      </c>
      <c r="BB20" s="5">
        <f t="shared" si="6"/>
        <v>0.33333333333333331</v>
      </c>
    </row>
    <row r="21" spans="2:54" ht="18.75" x14ac:dyDescent="0.3">
      <c r="B21" s="43">
        <f t="shared" si="8"/>
        <v>41686</v>
      </c>
      <c r="C21" s="44">
        <f t="shared" si="9"/>
        <v>41686</v>
      </c>
      <c r="D21" s="3"/>
      <c r="E21" s="62"/>
      <c r="F21" s="62"/>
      <c r="G21" s="62"/>
      <c r="H21" s="62"/>
      <c r="I21" s="62" t="str">
        <f t="shared" ca="1" si="0"/>
        <v/>
      </c>
      <c r="J21" s="52">
        <f>IF(AND(Feiertage!$G$2&lt;&gt;"ja",AV21=1),IF(AZ21&gt;0,BB21+AZ21,BB21),IF(AZ21=0,0, IF(I21&lt;&gt;"",AZ21-I21,AZ21)))+AX21</f>
        <v>0</v>
      </c>
      <c r="K21" s="62">
        <f>IF(AV21=0,BB21,IF(Feiertage!$G$2="ja","00:00",BB21))</f>
        <v>0</v>
      </c>
      <c r="L21" s="52" t="str">
        <f t="shared" ca="1" si="11"/>
        <v/>
      </c>
      <c r="M21" s="50" t="str">
        <f>IF(AV21=1,AU21,IF(LOWER(AW21)=LOWER(Urlaub!$W$19),Urlaub!$S$19,
IF(LOWER(AW21)=LOWER(Urlaub!$W$20),Urlaub!$S$20,
IF(LOWER(AW21)=LOWER(Urlaub!$W$21),Urlaub!$S$21,
IF(LOWER(AW21)=LOWER(Urlaub!$W$22),Urlaub!$S$22,
IF(LOWER(AW21)=LOWER(Urlaub!$W$23),Urlaub!$S$23,
IF(LOWER(AW21)=LOWER(Urlaub!$W$24),Urlaub!$S$24,""))))))&amp;IF(AND(EXACT(LOWER(AW21),AW21),AW21&lt;&gt;0)," 1/2",""))</f>
        <v/>
      </c>
      <c r="N21" s="53">
        <f t="shared" si="2"/>
        <v>0</v>
      </c>
      <c r="AU21" t="str">
        <f>IF(AV21=1,VLOOKUP($B21,Feiertage!$B$2:$D$49,3,FALSE),"")</f>
        <v/>
      </c>
      <c r="AV21">
        <f>IF(IFERROR(MATCH($B21,Feiertage!$B$2:$B$49,0)&gt;0,0),1,0)</f>
        <v>0</v>
      </c>
      <c r="AW21" s="22">
        <f>IFERROR(HLOOKUP(DAY(B21),Urlaub!$C$4:$AG$16,MONTH(B21)+1,FALSE),0)</f>
        <v>0</v>
      </c>
      <c r="AX21" s="38">
        <f t="shared" si="10"/>
        <v>0</v>
      </c>
      <c r="AY21" s="7">
        <f t="shared" si="4"/>
        <v>2.0833333333333301E-2</v>
      </c>
      <c r="AZ21" s="5">
        <f t="shared" si="5"/>
        <v>0</v>
      </c>
      <c r="BA21" s="39">
        <f t="shared" si="7"/>
        <v>0</v>
      </c>
      <c r="BB21" s="5">
        <f t="shared" si="6"/>
        <v>0</v>
      </c>
    </row>
    <row r="22" spans="2:54" ht="18.75" x14ac:dyDescent="0.3">
      <c r="B22" s="43">
        <f t="shared" si="8"/>
        <v>41687</v>
      </c>
      <c r="C22" s="44">
        <f t="shared" si="9"/>
        <v>41687</v>
      </c>
      <c r="D22" s="3"/>
      <c r="E22" s="62"/>
      <c r="F22" s="62"/>
      <c r="G22" s="62"/>
      <c r="H22" s="62"/>
      <c r="I22" s="62" t="str">
        <f t="shared" ca="1" si="0"/>
        <v/>
      </c>
      <c r="J22" s="52">
        <f>IF(AND(Feiertage!$G$2&lt;&gt;"ja",AV22=1),IF(AZ22&gt;0,BB22+AZ22,BB22),IF(AZ22=0,0, IF(I22&lt;&gt;"",AZ22-I22,AZ22)))+AX22</f>
        <v>0</v>
      </c>
      <c r="K22" s="62">
        <f>IF(AV22=0,BB22,IF(Feiertage!$G$2="ja","00:00",BB22))</f>
        <v>0</v>
      </c>
      <c r="L22" s="52" t="str">
        <f t="shared" ca="1" si="11"/>
        <v/>
      </c>
      <c r="M22" s="50" t="str">
        <f>IF(AV22=1,AU22,IF(LOWER(AW22)=LOWER(Urlaub!$W$19),Urlaub!$S$19,
IF(LOWER(AW22)=LOWER(Urlaub!$W$20),Urlaub!$S$20,
IF(LOWER(AW22)=LOWER(Urlaub!$W$21),Urlaub!$S$21,
IF(LOWER(AW22)=LOWER(Urlaub!$W$22),Urlaub!$S$22,
IF(LOWER(AW22)=LOWER(Urlaub!$W$23),Urlaub!$S$23,
IF(LOWER(AW22)=LOWER(Urlaub!$W$24),Urlaub!$S$24,""))))))&amp;IF(AND(EXACT(LOWER(AW22),AW22),AW22&lt;&gt;0)," 1/2",""))</f>
        <v/>
      </c>
      <c r="N22" s="53">
        <f t="shared" si="2"/>
        <v>0</v>
      </c>
      <c r="AU22" t="str">
        <f>IF(AV22=1,VLOOKUP($B22,Feiertage!$B$2:$D$49,3,FALSE),"")</f>
        <v/>
      </c>
      <c r="AV22">
        <f>IF(IFERROR(MATCH($B22,Feiertage!$B$2:$B$49,0)&gt;0,0),1,0)</f>
        <v>0</v>
      </c>
      <c r="AW22" s="22">
        <f>IFERROR(HLOOKUP(DAY(B22),Urlaub!$C$4:$AG$16,MONTH(B22)+1,FALSE),0)</f>
        <v>0</v>
      </c>
      <c r="AX22" s="38">
        <f t="shared" si="10"/>
        <v>0</v>
      </c>
      <c r="AY22" s="7">
        <f t="shared" si="4"/>
        <v>2.0833333333333301E-2</v>
      </c>
      <c r="AZ22" s="5">
        <f t="shared" si="5"/>
        <v>0</v>
      </c>
      <c r="BA22" s="39">
        <f t="shared" si="7"/>
        <v>0</v>
      </c>
      <c r="BB22" s="5">
        <f t="shared" si="6"/>
        <v>0</v>
      </c>
    </row>
    <row r="23" spans="2:54" ht="18.75" x14ac:dyDescent="0.3">
      <c r="B23" s="43">
        <f t="shared" si="8"/>
        <v>41688</v>
      </c>
      <c r="C23" s="44">
        <f t="shared" si="9"/>
        <v>41688</v>
      </c>
      <c r="D23" s="3"/>
      <c r="E23" s="62"/>
      <c r="F23" s="62"/>
      <c r="G23" s="62"/>
      <c r="H23" s="62"/>
      <c r="I23" s="62" t="str">
        <f t="shared" ca="1" si="0"/>
        <v/>
      </c>
      <c r="J23" s="52">
        <f>IF(AND(Feiertage!$G$2&lt;&gt;"ja",AV23=1),IF(AZ23&gt;0,BB23+AZ23,BB23),IF(AZ23=0,0, IF(I23&lt;&gt;"",AZ23-I23,AZ23)))+AX23</f>
        <v>0</v>
      </c>
      <c r="K23" s="62">
        <f>IF(AV23=0,BB23,IF(Feiertage!$G$2="ja","00:00",BB23))</f>
        <v>0.33333333333333331</v>
      </c>
      <c r="L23" s="52">
        <f t="shared" ca="1" si="11"/>
        <v>-0.33333333333333331</v>
      </c>
      <c r="M23" s="50" t="str">
        <f>IF(AV23=1,AU23,IF(LOWER(AW23)=LOWER(Urlaub!$W$19),Urlaub!$S$19,
IF(LOWER(AW23)=LOWER(Urlaub!$W$20),Urlaub!$S$20,
IF(LOWER(AW23)=LOWER(Urlaub!$W$21),Urlaub!$S$21,
IF(LOWER(AW23)=LOWER(Urlaub!$W$22),Urlaub!$S$22,
IF(LOWER(AW23)=LOWER(Urlaub!$W$23),Urlaub!$S$23,
IF(LOWER(AW23)=LOWER(Urlaub!$W$24),Urlaub!$S$24,""))))))&amp;IF(AND(EXACT(LOWER(AW23),AW23),AW23&lt;&gt;0)," 1/2",""))</f>
        <v/>
      </c>
      <c r="N23" s="53">
        <f t="shared" si="2"/>
        <v>0</v>
      </c>
      <c r="AU23" t="str">
        <f>IF(AV23=1,VLOOKUP($B23,Feiertage!$B$2:$D$49,3,FALSE),"")</f>
        <v/>
      </c>
      <c r="AV23">
        <f>IF(IFERROR(MATCH($B23,Feiertage!$B$2:$B$49,0)&gt;0,0),1,0)</f>
        <v>0</v>
      </c>
      <c r="AW23" s="22">
        <f>IFERROR(HLOOKUP(DAY(B23),Urlaub!$C$4:$AG$16,MONTH(B23)+1,FALSE),0)</f>
        <v>0</v>
      </c>
      <c r="AX23" s="38">
        <f>IFERROR(IF(OR(AW23=0,AW23="G"),0,IF(EXACT(LOWER(AW23),AW23),0.5*BB23,BB23)),"")</f>
        <v>0</v>
      </c>
      <c r="AY23" s="7">
        <f t="shared" si="4"/>
        <v>2.0833333333333332E-2</v>
      </c>
      <c r="AZ23" s="5">
        <f t="shared" si="5"/>
        <v>0</v>
      </c>
      <c r="BA23" s="39">
        <f t="shared" si="7"/>
        <v>0</v>
      </c>
      <c r="BB23" s="5">
        <f t="shared" si="6"/>
        <v>0.33333333333333331</v>
      </c>
    </row>
    <row r="24" spans="2:54" ht="18.75" x14ac:dyDescent="0.3">
      <c r="B24" s="43">
        <f t="shared" si="8"/>
        <v>41689</v>
      </c>
      <c r="C24" s="44">
        <f t="shared" si="9"/>
        <v>41689</v>
      </c>
      <c r="D24" s="3"/>
      <c r="E24" s="62"/>
      <c r="F24" s="62"/>
      <c r="G24" s="62"/>
      <c r="H24" s="62"/>
      <c r="I24" s="62" t="str">
        <f t="shared" ca="1" si="0"/>
        <v/>
      </c>
      <c r="J24" s="52">
        <f>IF(AND(Feiertage!$G$2&lt;&gt;"ja",AV24=1),IF(AZ24&gt;0,BB24+AZ24,BB24),IF(AZ24=0,0, IF(I24&lt;&gt;"",AZ24-I24,AZ24)))+AX24</f>
        <v>0</v>
      </c>
      <c r="K24" s="62">
        <f>IF(AV24=0,BB24,IF(Feiertage!$G$2="ja","00:00",BB24))</f>
        <v>0.33333333333333331</v>
      </c>
      <c r="L24" s="52">
        <f t="shared" ca="1" si="11"/>
        <v>-0.33333333333333331</v>
      </c>
      <c r="M24" s="50" t="str">
        <f>IF(AV24=1,AU24,IF(LOWER(AW24)=LOWER(Urlaub!$W$19),Urlaub!$S$19,
IF(LOWER(AW24)=LOWER(Urlaub!$W$20),Urlaub!$S$20,
IF(LOWER(AW24)=LOWER(Urlaub!$W$21),Urlaub!$S$21,
IF(LOWER(AW24)=LOWER(Urlaub!$W$22),Urlaub!$S$22,
IF(LOWER(AW24)=LOWER(Urlaub!$W$23),Urlaub!$S$23,
IF(LOWER(AW24)=LOWER(Urlaub!$W$24),Urlaub!$S$24,""))))))&amp;IF(AND(EXACT(LOWER(AW24),AW24),AW24&lt;&gt;0)," 1/2",""))</f>
        <v/>
      </c>
      <c r="N24" s="53">
        <f t="shared" si="2"/>
        <v>0</v>
      </c>
      <c r="AU24" t="str">
        <f>IF(AV24=1,VLOOKUP($B24,Feiertage!$B$2:$D$49,3,FALSE),"")</f>
        <v/>
      </c>
      <c r="AV24">
        <f>IF(IFERROR(MATCH($B24,Feiertage!$B$2:$B$49,0)&gt;0,0),1,0)</f>
        <v>0</v>
      </c>
      <c r="AW24" s="22">
        <f>IFERROR(HLOOKUP(DAY(B24),Urlaub!$C$4:$AG$16,MONTH(B24)+1,FALSE),0)</f>
        <v>0</v>
      </c>
      <c r="AX24" s="38">
        <f t="shared" si="10"/>
        <v>0</v>
      </c>
      <c r="AY24" s="7">
        <f t="shared" si="4"/>
        <v>2.0833333333333332E-2</v>
      </c>
      <c r="AZ24" s="5">
        <f t="shared" si="5"/>
        <v>0</v>
      </c>
      <c r="BA24" s="39">
        <f t="shared" si="7"/>
        <v>0</v>
      </c>
      <c r="BB24" s="5">
        <f t="shared" si="6"/>
        <v>0.33333333333333331</v>
      </c>
    </row>
    <row r="25" spans="2:54" ht="18.75" x14ac:dyDescent="0.3">
      <c r="B25" s="43">
        <f t="shared" si="8"/>
        <v>41690</v>
      </c>
      <c r="C25" s="44">
        <f t="shared" si="9"/>
        <v>41690</v>
      </c>
      <c r="D25" s="3"/>
      <c r="E25" s="62"/>
      <c r="F25" s="62"/>
      <c r="G25" s="62"/>
      <c r="H25" s="62"/>
      <c r="I25" s="62" t="str">
        <f t="shared" ca="1" si="0"/>
        <v/>
      </c>
      <c r="J25" s="52">
        <f>IF(AND(Feiertage!$G$2&lt;&gt;"ja",AV25=1),IF(AZ25&gt;0,BB25+AZ25,BB25),IF(AZ25=0,0, IF(I25&lt;&gt;"",AZ25-I25,AZ25)))+AX25</f>
        <v>0</v>
      </c>
      <c r="K25" s="62">
        <f>IF(AV25=0,BB25,IF(Feiertage!$G$2="ja","00:00",BB25))</f>
        <v>0.33333333333333331</v>
      </c>
      <c r="L25" s="52">
        <f t="shared" ca="1" si="11"/>
        <v>-0.33333333333333331</v>
      </c>
      <c r="M25" s="50" t="str">
        <f>IF(AV25=1,AU25,IF(LOWER(AW25)=LOWER(Urlaub!$W$19),Urlaub!$S$19,
IF(LOWER(AW25)=LOWER(Urlaub!$W$20),Urlaub!$S$20,
IF(LOWER(AW25)=LOWER(Urlaub!$W$21),Urlaub!$S$21,
IF(LOWER(AW25)=LOWER(Urlaub!$W$22),Urlaub!$S$22,
IF(LOWER(AW25)=LOWER(Urlaub!$W$23),Urlaub!$S$23,
IF(LOWER(AW25)=LOWER(Urlaub!$W$24),Urlaub!$S$24,""))))))&amp;IF(AND(EXACT(LOWER(AW25),AW25),AW25&lt;&gt;0)," 1/2",""))</f>
        <v/>
      </c>
      <c r="N25" s="53">
        <f t="shared" si="2"/>
        <v>0</v>
      </c>
      <c r="AU25" t="str">
        <f>IF(AV25=1,VLOOKUP($B25,Feiertage!$B$2:$D$49,3,FALSE),"")</f>
        <v/>
      </c>
      <c r="AV25">
        <f>IF(IFERROR(MATCH($B25,Feiertage!$B$2:$B$49,0)&gt;0,0),1,0)</f>
        <v>0</v>
      </c>
      <c r="AW25" s="22">
        <f>IFERROR(HLOOKUP(DAY(B25),Urlaub!$C$4:$AG$16,MONTH(B25)+1,FALSE),0)</f>
        <v>0</v>
      </c>
      <c r="AX25" s="38">
        <f t="shared" si="10"/>
        <v>0</v>
      </c>
      <c r="AY25" s="7">
        <f t="shared" si="4"/>
        <v>2.0833333333333301E-2</v>
      </c>
      <c r="AZ25" s="5">
        <f t="shared" si="5"/>
        <v>0</v>
      </c>
      <c r="BA25" s="39">
        <f t="shared" si="7"/>
        <v>0</v>
      </c>
      <c r="BB25" s="5">
        <f t="shared" si="6"/>
        <v>0.33333333333333331</v>
      </c>
    </row>
    <row r="26" spans="2:54" ht="18.75" x14ac:dyDescent="0.3">
      <c r="B26" s="43">
        <f t="shared" si="8"/>
        <v>41691</v>
      </c>
      <c r="C26" s="44">
        <f t="shared" si="9"/>
        <v>41691</v>
      </c>
      <c r="D26" s="3"/>
      <c r="E26" s="62"/>
      <c r="F26" s="62"/>
      <c r="G26" s="62"/>
      <c r="H26" s="62"/>
      <c r="I26" s="62" t="str">
        <f t="shared" ca="1" si="0"/>
        <v/>
      </c>
      <c r="J26" s="52">
        <f>IF(AND(Feiertage!$G$2&lt;&gt;"ja",AV26=1),IF(AZ26&gt;0,BB26+AZ26,BB26),IF(AZ26=0,0, IF(I26&lt;&gt;"",AZ26-I26,AZ26)))+AX26</f>
        <v>0</v>
      </c>
      <c r="K26" s="62">
        <f>IF(AV26=0,BB26,IF(Feiertage!$G$2="ja","00:00",BB26))</f>
        <v>0.33333333333333331</v>
      </c>
      <c r="L26" s="52">
        <f t="shared" ca="1" si="11"/>
        <v>-0.33333333333333331</v>
      </c>
      <c r="M26" s="50" t="str">
        <f>IF(AV26=1,AU26,IF(LOWER(AW26)=LOWER(Urlaub!$W$19),Urlaub!$S$19,
IF(LOWER(AW26)=LOWER(Urlaub!$W$20),Urlaub!$S$20,
IF(LOWER(AW26)=LOWER(Urlaub!$W$21),Urlaub!$S$21,
IF(LOWER(AW26)=LOWER(Urlaub!$W$22),Urlaub!$S$22,
IF(LOWER(AW26)=LOWER(Urlaub!$W$23),Urlaub!$S$23,
IF(LOWER(AW26)=LOWER(Urlaub!$W$24),Urlaub!$S$24,""))))))&amp;IF(AND(EXACT(LOWER(AW26),AW26),AW26&lt;&gt;0)," 1/2",""))</f>
        <v/>
      </c>
      <c r="N26" s="53">
        <f t="shared" si="2"/>
        <v>0</v>
      </c>
      <c r="AU26" t="str">
        <f>IF(AV26=1,VLOOKUP($B26,Feiertage!$B$2:$D$49,3,FALSE),"")</f>
        <v/>
      </c>
      <c r="AV26">
        <f>IF(IFERROR(MATCH($B26,Feiertage!$B$2:$B$49,0)&gt;0,0),1,0)</f>
        <v>0</v>
      </c>
      <c r="AW26" s="22">
        <f>IFERROR(HLOOKUP(DAY(B26),Urlaub!$C$4:$AG$16,MONTH(B26)+1,FALSE),0)</f>
        <v>0</v>
      </c>
      <c r="AX26" s="38">
        <f t="shared" si="10"/>
        <v>0</v>
      </c>
      <c r="AY26" s="7">
        <f t="shared" si="4"/>
        <v>2.0833333333333301E-2</v>
      </c>
      <c r="AZ26" s="5">
        <f t="shared" si="5"/>
        <v>0</v>
      </c>
      <c r="BA26" s="39">
        <f t="shared" si="7"/>
        <v>0</v>
      </c>
      <c r="BB26" s="5">
        <f t="shared" si="6"/>
        <v>0.33333333333333331</v>
      </c>
    </row>
    <row r="27" spans="2:54" ht="18.75" x14ac:dyDescent="0.3">
      <c r="B27" s="43">
        <f t="shared" si="8"/>
        <v>41692</v>
      </c>
      <c r="C27" s="44">
        <f t="shared" si="9"/>
        <v>41692</v>
      </c>
      <c r="D27" s="3"/>
      <c r="E27" s="62"/>
      <c r="F27" s="62"/>
      <c r="G27" s="62"/>
      <c r="H27" s="62"/>
      <c r="I27" s="62" t="str">
        <f t="shared" ca="1" si="0"/>
        <v/>
      </c>
      <c r="J27" s="52">
        <f>IF(AND(Feiertage!$G$2&lt;&gt;"ja",AV27=1),IF(AZ27&gt;0,BB27+AZ27,BB27),IF(AZ27=0,0, IF(I27&lt;&gt;"",AZ27-I27,AZ27)))+AX27</f>
        <v>0</v>
      </c>
      <c r="K27" s="62">
        <f>IF(AV27=0,BB27,IF(Feiertage!$G$2="ja","00:00",BB27))</f>
        <v>0.33333333333333331</v>
      </c>
      <c r="L27" s="52">
        <f t="shared" ca="1" si="11"/>
        <v>-0.33333333333333331</v>
      </c>
      <c r="M27" s="50" t="str">
        <f>IF(AV27=1,AU27,IF(LOWER(AW27)=LOWER(Urlaub!$W$19),Urlaub!$S$19,
IF(LOWER(AW27)=LOWER(Urlaub!$W$20),Urlaub!$S$20,
IF(LOWER(AW27)=LOWER(Urlaub!$W$21),Urlaub!$S$21,
IF(LOWER(AW27)=LOWER(Urlaub!$W$22),Urlaub!$S$22,
IF(LOWER(AW27)=LOWER(Urlaub!$W$23),Urlaub!$S$23,
IF(LOWER(AW27)=LOWER(Urlaub!$W$24),Urlaub!$S$24,""))))))&amp;IF(AND(EXACT(LOWER(AW27),AW27),AW27&lt;&gt;0)," 1/2",""))</f>
        <v/>
      </c>
      <c r="N27" s="53">
        <f t="shared" si="2"/>
        <v>0</v>
      </c>
      <c r="AU27" t="str">
        <f>IF(AV27=1,VLOOKUP($B27,Feiertage!$B$2:$D$49,3,FALSE),"")</f>
        <v/>
      </c>
      <c r="AV27">
        <f>IF(IFERROR(MATCH($B27,Feiertage!$B$2:$B$49,0)&gt;0,0),1,0)</f>
        <v>0</v>
      </c>
      <c r="AW27" s="22">
        <f>IFERROR(HLOOKUP(DAY(B27),Urlaub!$C$4:$AG$16,MONTH(B27)+1,FALSE),0)</f>
        <v>0</v>
      </c>
      <c r="AX27" s="38">
        <f t="shared" si="10"/>
        <v>0</v>
      </c>
      <c r="AY27" s="7">
        <f t="shared" si="4"/>
        <v>2.0833333333333301E-2</v>
      </c>
      <c r="AZ27" s="5">
        <f t="shared" si="5"/>
        <v>0</v>
      </c>
      <c r="BA27" s="39">
        <f t="shared" si="7"/>
        <v>0</v>
      </c>
      <c r="BB27" s="5">
        <f t="shared" si="6"/>
        <v>0.33333333333333331</v>
      </c>
    </row>
    <row r="28" spans="2:54" ht="18.75" x14ac:dyDescent="0.3">
      <c r="B28" s="43">
        <f t="shared" si="8"/>
        <v>41693</v>
      </c>
      <c r="C28" s="44">
        <f t="shared" si="9"/>
        <v>41693</v>
      </c>
      <c r="D28" s="3"/>
      <c r="E28" s="62"/>
      <c r="F28" s="62"/>
      <c r="G28" s="62"/>
      <c r="H28" s="62"/>
      <c r="I28" s="62" t="str">
        <f t="shared" ca="1" si="0"/>
        <v/>
      </c>
      <c r="J28" s="52">
        <f>IF(AND(Feiertage!$G$2&lt;&gt;"ja",AV28=1),IF(AZ28&gt;0,BB28+AZ28,BB28),IF(AZ28=0,0, IF(I28&lt;&gt;"",AZ28-I28,AZ28)))+AX28</f>
        <v>0</v>
      </c>
      <c r="K28" s="62">
        <f>IF(AV28=0,BB28,IF(Feiertage!$G$2="ja","00:00",BB28))</f>
        <v>0</v>
      </c>
      <c r="L28" s="52" t="str">
        <f t="shared" ca="1" si="11"/>
        <v/>
      </c>
      <c r="M28" s="50" t="str">
        <f>IF(AV28=1,AU28,IF(LOWER(AW28)=LOWER(Urlaub!$W$19),Urlaub!$S$19,
IF(LOWER(AW28)=LOWER(Urlaub!$W$20),Urlaub!$S$20,
IF(LOWER(AW28)=LOWER(Urlaub!$W$21),Urlaub!$S$21,
IF(LOWER(AW28)=LOWER(Urlaub!$W$22),Urlaub!$S$22,
IF(LOWER(AW28)=LOWER(Urlaub!$W$23),Urlaub!$S$23,
IF(LOWER(AW28)=LOWER(Urlaub!$W$24),Urlaub!$S$24,""))))))&amp;IF(AND(EXACT(LOWER(AW28),AW28),AW28&lt;&gt;0)," 1/2",""))</f>
        <v/>
      </c>
      <c r="N28" s="53">
        <f t="shared" si="2"/>
        <v>0</v>
      </c>
      <c r="AU28" t="str">
        <f>IF(AV28=1,VLOOKUP($B28,Feiertage!$B$2:$D$49,3,FALSE),"")</f>
        <v/>
      </c>
      <c r="AV28">
        <f>IF(IFERROR(MATCH($B28,Feiertage!$B$2:$B$49,0)&gt;0,0),1,0)</f>
        <v>0</v>
      </c>
      <c r="AW28" s="22">
        <f>IFERROR(HLOOKUP(DAY(B28),Urlaub!$C$4:$AG$16,MONTH(B28)+1,FALSE),0)</f>
        <v>0</v>
      </c>
      <c r="AX28" s="38">
        <f t="shared" si="10"/>
        <v>0</v>
      </c>
      <c r="AY28" s="7">
        <f t="shared" si="4"/>
        <v>2.0833333333333301E-2</v>
      </c>
      <c r="AZ28" s="5">
        <f t="shared" si="5"/>
        <v>0</v>
      </c>
      <c r="BA28" s="39">
        <f t="shared" si="7"/>
        <v>0</v>
      </c>
      <c r="BB28" s="5">
        <f t="shared" si="6"/>
        <v>0</v>
      </c>
    </row>
    <row r="29" spans="2:54" ht="18.75" x14ac:dyDescent="0.3">
      <c r="B29" s="43">
        <f t="shared" si="8"/>
        <v>41694</v>
      </c>
      <c r="C29" s="44">
        <f t="shared" si="9"/>
        <v>41694</v>
      </c>
      <c r="D29" s="3"/>
      <c r="E29" s="62"/>
      <c r="F29" s="62"/>
      <c r="G29" s="62"/>
      <c r="H29" s="62"/>
      <c r="I29" s="62" t="str">
        <f t="shared" ca="1" si="0"/>
        <v/>
      </c>
      <c r="J29" s="52">
        <f>IF(AND(Feiertage!$G$2&lt;&gt;"ja",AV29=1),IF(AZ29&gt;0,BB29+AZ29,BB29),IF(AZ29=0,0, IF(I29&lt;&gt;"",AZ29-I29,AZ29)))+AX29</f>
        <v>0</v>
      </c>
      <c r="K29" s="62">
        <f>IF(AV29=0,BB29,IF(Feiertage!$G$2="ja","00:00",BB29))</f>
        <v>0</v>
      </c>
      <c r="L29" s="52" t="str">
        <f t="shared" ca="1" si="11"/>
        <v/>
      </c>
      <c r="M29" s="50" t="str">
        <f>IF(AV29=1,AU29,IF(LOWER(AW29)=LOWER(Urlaub!$W$19),Urlaub!$S$19,
IF(LOWER(AW29)=LOWER(Urlaub!$W$20),Urlaub!$S$20,
IF(LOWER(AW29)=LOWER(Urlaub!$W$21),Urlaub!$S$21,
IF(LOWER(AW29)=LOWER(Urlaub!$W$22),Urlaub!$S$22,
IF(LOWER(AW29)=LOWER(Urlaub!$W$23),Urlaub!$S$23,
IF(LOWER(AW29)=LOWER(Urlaub!$W$24),Urlaub!$S$24,""))))))&amp;IF(AND(EXACT(LOWER(AW29),AW29),AW29&lt;&gt;0)," 1/2",""))</f>
        <v/>
      </c>
      <c r="N29" s="53">
        <f t="shared" si="2"/>
        <v>0</v>
      </c>
      <c r="AU29" t="str">
        <f>IF(AV29=1,VLOOKUP($B29,Feiertage!$B$2:$D$49,3,FALSE),"")</f>
        <v/>
      </c>
      <c r="AV29">
        <f>IF(IFERROR(MATCH($B29,Feiertage!$B$2:$B$49,0)&gt;0,0),1,0)</f>
        <v>0</v>
      </c>
      <c r="AW29" s="22">
        <f>IFERROR(HLOOKUP(DAY(B29),Urlaub!$C$4:$AG$16,MONTH(B29)+1,FALSE),0)</f>
        <v>0</v>
      </c>
      <c r="AX29" s="38">
        <f t="shared" si="10"/>
        <v>0</v>
      </c>
      <c r="AY29" s="7">
        <f t="shared" si="4"/>
        <v>2.0833333333333301E-2</v>
      </c>
      <c r="AZ29" s="5">
        <f t="shared" si="5"/>
        <v>0</v>
      </c>
      <c r="BA29" s="39">
        <f t="shared" si="7"/>
        <v>0</v>
      </c>
      <c r="BB29" s="5">
        <f t="shared" si="6"/>
        <v>0</v>
      </c>
    </row>
    <row r="30" spans="2:54" ht="18.75" x14ac:dyDescent="0.3">
      <c r="B30" s="43">
        <f t="shared" si="8"/>
        <v>41695</v>
      </c>
      <c r="C30" s="44">
        <f t="shared" si="9"/>
        <v>41695</v>
      </c>
      <c r="D30" s="3"/>
      <c r="E30" s="62"/>
      <c r="F30" s="62"/>
      <c r="G30" s="62"/>
      <c r="H30" s="62"/>
      <c r="I30" s="62" t="str">
        <f t="shared" ca="1" si="0"/>
        <v/>
      </c>
      <c r="J30" s="52">
        <f>IF(AND(Feiertage!$G$2&lt;&gt;"ja",AV30=1),IF(AZ30&gt;0,BB30+AZ30,BB30),IF(AZ30=0,0, IF(I30&lt;&gt;"",AZ30-I30,AZ30)))+AX30</f>
        <v>0</v>
      </c>
      <c r="K30" s="62">
        <f>IF(AV30=0,BB30,IF(Feiertage!$G$2="ja","00:00",BB30))</f>
        <v>0.33333333333333331</v>
      </c>
      <c r="L30" s="52">
        <f t="shared" ca="1" si="11"/>
        <v>-0.33333333333333331</v>
      </c>
      <c r="M30" s="50" t="str">
        <f>IF(AV30=1,AU30,IF(LOWER(AW30)=LOWER(Urlaub!$W$19),Urlaub!$S$19,
IF(LOWER(AW30)=LOWER(Urlaub!$W$20),Urlaub!$S$20,
IF(LOWER(AW30)=LOWER(Urlaub!$W$21),Urlaub!$S$21,
IF(LOWER(AW30)=LOWER(Urlaub!$W$22),Urlaub!$S$22,
IF(LOWER(AW30)=LOWER(Urlaub!$W$23),Urlaub!$S$23,
IF(LOWER(AW30)=LOWER(Urlaub!$W$24),Urlaub!$S$24,""))))))&amp;IF(AND(EXACT(LOWER(AW30),AW30),AW30&lt;&gt;0)," 1/2",""))</f>
        <v/>
      </c>
      <c r="N30" s="53">
        <f t="shared" si="2"/>
        <v>0</v>
      </c>
      <c r="AU30" t="str">
        <f>IF(AV30=1,VLOOKUP($B30,Feiertage!$B$2:$D$49,3,FALSE),"")</f>
        <v/>
      </c>
      <c r="AV30">
        <f>IF(IFERROR(MATCH($B30,Feiertage!$B$2:$B$49,0)&gt;0,0),1,0)</f>
        <v>0</v>
      </c>
      <c r="AW30" s="22">
        <f>IFERROR(HLOOKUP(DAY(B30),Urlaub!$C$4:$AG$16,MONTH(B30)+1,FALSE),0)</f>
        <v>0</v>
      </c>
      <c r="AX30" s="38">
        <f t="shared" si="10"/>
        <v>0</v>
      </c>
      <c r="AY30" s="7">
        <f t="shared" si="4"/>
        <v>2.0833333333333332E-2</v>
      </c>
      <c r="AZ30" s="5">
        <f t="shared" si="5"/>
        <v>0</v>
      </c>
      <c r="BA30" s="39">
        <f t="shared" si="7"/>
        <v>0</v>
      </c>
      <c r="BB30" s="5">
        <f t="shared" si="6"/>
        <v>0.33333333333333331</v>
      </c>
    </row>
    <row r="31" spans="2:54" ht="18.75" x14ac:dyDescent="0.3">
      <c r="B31" s="43">
        <f t="shared" si="8"/>
        <v>41696</v>
      </c>
      <c r="C31" s="44">
        <f t="shared" si="9"/>
        <v>41696</v>
      </c>
      <c r="D31" s="3"/>
      <c r="E31" s="62"/>
      <c r="F31" s="62"/>
      <c r="G31" s="62"/>
      <c r="H31" s="62"/>
      <c r="I31" s="62" t="str">
        <f t="shared" ca="1" si="0"/>
        <v/>
      </c>
      <c r="J31" s="52">
        <f>IF(AND(Feiertage!$G$2&lt;&gt;"ja",AV31=1),IF(AZ31&gt;0,BB31+AZ31,BB31),IF(AZ31=0,0, IF(I31&lt;&gt;"",AZ31-I31,AZ31)))+AX31</f>
        <v>0</v>
      </c>
      <c r="K31" s="62">
        <f>IF(AV31=0,BB31,IF(Feiertage!$G$2="ja","00:00",BB31))</f>
        <v>0.33333333333333331</v>
      </c>
      <c r="L31" s="52">
        <f t="shared" ca="1" si="11"/>
        <v>-0.33333333333333331</v>
      </c>
      <c r="M31" s="50" t="str">
        <f>IF(AV31=1,AU31,IF(LOWER(AW31)=LOWER(Urlaub!$W$19),Urlaub!$S$19,
IF(LOWER(AW31)=LOWER(Urlaub!$W$20),Urlaub!$S$20,
IF(LOWER(AW31)=LOWER(Urlaub!$W$21),Urlaub!$S$21,
IF(LOWER(AW31)=LOWER(Urlaub!$W$22),Urlaub!$S$22,
IF(LOWER(AW31)=LOWER(Urlaub!$W$23),Urlaub!$S$23,
IF(LOWER(AW31)=LOWER(Urlaub!$W$24),Urlaub!$S$24,""))))))&amp;IF(AND(EXACT(LOWER(AW31),AW31),AW31&lt;&gt;0)," 1/2",""))</f>
        <v/>
      </c>
      <c r="N31" s="53">
        <f t="shared" si="2"/>
        <v>0</v>
      </c>
      <c r="AU31" t="str">
        <f>IF(AV31=1,VLOOKUP($B31,Feiertage!$B$2:$D$49,3,FALSE),"")</f>
        <v/>
      </c>
      <c r="AV31">
        <f>IF(IFERROR(MATCH($B31,Feiertage!$B$2:$B$49,0)&gt;0,0),1,0)</f>
        <v>0</v>
      </c>
      <c r="AW31" s="22">
        <f>IFERROR(HLOOKUP(DAY(B31),Urlaub!$C$4:$AG$16,MONTH(B31)+1,FALSE),0)</f>
        <v>0</v>
      </c>
      <c r="AX31" s="38">
        <f t="shared" si="10"/>
        <v>0</v>
      </c>
      <c r="AY31" s="7">
        <f t="shared" si="4"/>
        <v>2.0833333333333332E-2</v>
      </c>
      <c r="AZ31" s="5">
        <f t="shared" si="5"/>
        <v>0</v>
      </c>
      <c r="BA31" s="39">
        <f t="shared" si="7"/>
        <v>0</v>
      </c>
      <c r="BB31" s="5">
        <f t="shared" si="6"/>
        <v>0.33333333333333331</v>
      </c>
    </row>
    <row r="32" spans="2:54" ht="18.75" x14ac:dyDescent="0.3">
      <c r="B32" s="43">
        <f t="shared" si="8"/>
        <v>41697</v>
      </c>
      <c r="C32" s="44">
        <f t="shared" si="9"/>
        <v>41697</v>
      </c>
      <c r="D32" s="3"/>
      <c r="E32" s="62"/>
      <c r="F32" s="62"/>
      <c r="G32" s="62"/>
      <c r="H32" s="62"/>
      <c r="I32" s="62" t="str">
        <f t="shared" ca="1" si="0"/>
        <v/>
      </c>
      <c r="J32" s="52">
        <f>IF(AND(Feiertage!$G$2&lt;&gt;"ja",AV32=1),IF(AZ32&gt;0,BB32+AZ32,BB32),IF(AZ32=0,0, IF(I32&lt;&gt;"",AZ32-I32,AZ32)))+AX32</f>
        <v>0</v>
      </c>
      <c r="K32" s="62">
        <f>IF(AV32=0,BB32,IF(Feiertage!$G$2="ja","00:00",BB32))</f>
        <v>0.33333333333333331</v>
      </c>
      <c r="L32" s="52">
        <f t="shared" ca="1" si="11"/>
        <v>-0.33333333333333331</v>
      </c>
      <c r="M32" s="50" t="str">
        <f>IF(AV32=1,AU32,IF(LOWER(AW32)=LOWER(Urlaub!$W$19),Urlaub!$S$19,
IF(LOWER(AW32)=LOWER(Urlaub!$W$20),Urlaub!$S$20,
IF(LOWER(AW32)=LOWER(Urlaub!$W$21),Urlaub!$S$21,
IF(LOWER(AW32)=LOWER(Urlaub!$W$22),Urlaub!$S$22,
IF(LOWER(AW32)=LOWER(Urlaub!$W$23),Urlaub!$S$23,
IF(LOWER(AW32)=LOWER(Urlaub!$W$24),Urlaub!$S$24,""))))))&amp;IF(AND(EXACT(LOWER(AW32),AW32),AW32&lt;&gt;0)," 1/2",""))</f>
        <v/>
      </c>
      <c r="N32" s="53">
        <f t="shared" si="2"/>
        <v>0</v>
      </c>
      <c r="AU32" t="str">
        <f>IF(AV32=1,VLOOKUP($B32,Feiertage!$B$2:$D$49,3,FALSE),"")</f>
        <v/>
      </c>
      <c r="AV32">
        <f>IF(IFERROR(MATCH($B32,Feiertage!$B$2:$B$49,0)&gt;0,0),1,0)</f>
        <v>0</v>
      </c>
      <c r="AW32" s="22">
        <f>IFERROR(HLOOKUP(DAY(B32),Urlaub!$C$4:$AG$16,MONTH(B32)+1,FALSE),0)</f>
        <v>0</v>
      </c>
      <c r="AX32" s="38">
        <f t="shared" si="10"/>
        <v>0</v>
      </c>
      <c r="AY32" s="7">
        <f t="shared" si="4"/>
        <v>2.0833333333333301E-2</v>
      </c>
      <c r="AZ32" s="5">
        <f t="shared" si="5"/>
        <v>0</v>
      </c>
      <c r="BA32" s="39">
        <f t="shared" si="7"/>
        <v>0</v>
      </c>
      <c r="BB32" s="5">
        <f t="shared" si="6"/>
        <v>0.33333333333333331</v>
      </c>
    </row>
    <row r="33" spans="2:54" ht="18.75" x14ac:dyDescent="0.3">
      <c r="B33" s="43" t="str">
        <f>IF(B32&lt;&gt;"",IF(MONTH($B$1)&lt;MONTH(B32+1),"",B32+1),"")</f>
        <v/>
      </c>
      <c r="C33" s="44" t="str">
        <f t="shared" si="9"/>
        <v/>
      </c>
      <c r="D33" s="3"/>
      <c r="E33" s="62"/>
      <c r="F33" s="62"/>
      <c r="G33" s="62"/>
      <c r="H33" s="62"/>
      <c r="I33" s="62" t="str">
        <f t="shared" ca="1" si="0"/>
        <v/>
      </c>
      <c r="J33" s="52" t="str">
        <f>IF(B33&lt;&gt;"",IF(AND(Feiertage!$G$2&lt;&gt;"ja",AV33=1),IF(AZ33&gt;0,BB33+AZ33,BB33),IF(AZ33=0,0, IF(I33&lt;&gt;"",AZ33-I33,AZ33)))+AX33,"")</f>
        <v/>
      </c>
      <c r="K33" s="62" t="str">
        <f>IF(B33&lt;&gt;"",IF(AV33=0,BB33,IF(Feiertage!$G$2="ja","00:00",BB33)),"")</f>
        <v/>
      </c>
      <c r="L33" s="52" t="str">
        <f t="shared" ca="1" si="11"/>
        <v/>
      </c>
      <c r="M33" s="50" t="str">
        <f>IF(AV33=1,AU33,IF(LOWER(AW33)=LOWER(Urlaub!$W$19),Urlaub!$S$19,
IF(LOWER(AW33)=LOWER(Urlaub!$W$20),Urlaub!$S$20,
IF(LOWER(AW33)=LOWER(Urlaub!$W$21),Urlaub!$S$21,
IF(LOWER(AW33)=LOWER(Urlaub!$W$22),Urlaub!$S$22,
IF(LOWER(AW33)=LOWER(Urlaub!$W$23),Urlaub!$S$23,
IF(LOWER(AW33)=LOWER(Urlaub!$W$24),Urlaub!$S$24,""))))))&amp;IF(AND(EXACT(LOWER(AW33),AW33),AW33&lt;&gt;0)," 1/2",""))</f>
        <v/>
      </c>
      <c r="N33" s="53" t="str">
        <f>IF(J33&lt;&gt;"",24*J33*IF(WEEKDAY(C33)=WEEKDAY($P$6),$S$6,
IF(WEEKDAY(C33)=WEEKDAY($P$7),$S$7,
IF(WEEKDAY(C33)=WEEKDAY($P$8),$S$8,
IF(WEEKDAY(C33)=WEEKDAY($P$9),$S$9,
IF(WEEKDAY(C33)=WEEKDAY($P$10),$S$10,
IF(WEEKDAY(C33)=WEEKDAY($P$11),$S$11,
IF(WEEKDAY(C33)=WEEKDAY($P$12),$S$12,""))))))),"")</f>
        <v/>
      </c>
      <c r="AU33" t="str">
        <f>IF(AV33=1,VLOOKUP($B33,Feiertage!$B$2:$D$49,3,FALSE),"")</f>
        <v/>
      </c>
      <c r="AV33">
        <f>IF(IFERROR(MATCH($B33,Feiertage!$B$2:$B$49,0)&gt;0,0),1,0)</f>
        <v>0</v>
      </c>
      <c r="AW33" s="22">
        <f>IFERROR(HLOOKUP(DAY(B33),Urlaub!$C$4:$AG$16,MONTH(B33)+1,FALSE),0)</f>
        <v>0</v>
      </c>
      <c r="AX33" s="38">
        <f t="shared" si="10"/>
        <v>0</v>
      </c>
      <c r="AY33" s="7" t="str">
        <f t="shared" si="4"/>
        <v/>
      </c>
      <c r="AZ33" s="5">
        <f t="shared" si="5"/>
        <v>0</v>
      </c>
      <c r="BA33" s="39">
        <f t="shared" si="7"/>
        <v>0</v>
      </c>
      <c r="BB33" s="5" t="str">
        <f t="shared" si="6"/>
        <v/>
      </c>
    </row>
    <row r="34" spans="2:54" ht="18.75" x14ac:dyDescent="0.3">
      <c r="B34" s="43" t="str">
        <f t="shared" ref="B34:B35" si="12">IF(B33&lt;&gt;"",IF(MONTH($B$1)&lt;MONTH(B33+1),"",B33+1),"")</f>
        <v/>
      </c>
      <c r="C34" s="44" t="str">
        <f t="shared" si="9"/>
        <v/>
      </c>
      <c r="D34" s="3"/>
      <c r="E34" s="62"/>
      <c r="F34" s="62"/>
      <c r="G34" s="62"/>
      <c r="H34" s="62"/>
      <c r="I34" s="62" t="str">
        <f t="shared" ca="1" si="0"/>
        <v/>
      </c>
      <c r="J34" s="52" t="str">
        <f>IF(B34&lt;&gt;"",IF(AND(Feiertage!$G$2&lt;&gt;"ja",AV34=1),IF(AZ34&gt;0,BB34+AZ34,BB34),IF(AZ34=0,0, IF(I34&lt;&gt;"",AZ34-I34,AZ34)))+AX34,"")</f>
        <v/>
      </c>
      <c r="K34" s="62" t="str">
        <f>IF(B34&lt;&gt;"",IF(AV34=0,BB34,IF(Feiertage!$G$2="ja","00:00",BB34)),"")</f>
        <v/>
      </c>
      <c r="L34" s="52" t="str">
        <f t="shared" ca="1" si="11"/>
        <v/>
      </c>
      <c r="M34" s="50" t="str">
        <f>IF(AV34=1,AU34,IF(LOWER(AW34)=LOWER(Urlaub!$W$19),Urlaub!$S$19,
IF(LOWER(AW34)=LOWER(Urlaub!$W$20),Urlaub!$S$20,
IF(LOWER(AW34)=LOWER(Urlaub!$W$21),Urlaub!$S$21,
IF(LOWER(AW34)=LOWER(Urlaub!$W$22),Urlaub!$S$22,
IF(LOWER(AW34)=LOWER(Urlaub!$W$23),Urlaub!$S$23,
IF(LOWER(AW34)=LOWER(Urlaub!$W$24),Urlaub!$S$24,""))))))&amp;IF(AND(EXACT(LOWER(AW34),AW34),AW34&lt;&gt;0)," 1/2",""))</f>
        <v/>
      </c>
      <c r="N34" s="53" t="str">
        <f>IF(J34&lt;&gt;"",24*J34*IF(WEEKDAY(C34)=WEEKDAY($P$6),$S$6,
IF(WEEKDAY(C34)=WEEKDAY($P$7),$S$7,
IF(WEEKDAY(C34)=WEEKDAY($P$8),$S$8,
IF(WEEKDAY(C34)=WEEKDAY($P$9),$S$9,
IF(WEEKDAY(C34)=WEEKDAY($P$10),$S$10,
IF(WEEKDAY(C34)=WEEKDAY($P$11),$S$11,
IF(WEEKDAY(C34)=WEEKDAY($P$12),$S$12,""))))))),"")</f>
        <v/>
      </c>
      <c r="AU34" t="str">
        <f>IF(AV34=1,VLOOKUP($B34,Feiertage!$B$2:$D$49,3,FALSE),"")</f>
        <v/>
      </c>
      <c r="AV34">
        <f>IF(IFERROR(MATCH($B34,Feiertage!$B$2:$B$49,0)&gt;0,0),1,0)</f>
        <v>0</v>
      </c>
      <c r="AW34" s="22">
        <f>IFERROR(HLOOKUP(DAY(B34),Urlaub!$C$4:$AG$16,MONTH(B34)+1,FALSE),0)</f>
        <v>0</v>
      </c>
      <c r="AX34" s="38">
        <f t="shared" si="10"/>
        <v>0</v>
      </c>
      <c r="AY34" s="7" t="str">
        <f t="shared" si="4"/>
        <v/>
      </c>
      <c r="AZ34" s="5">
        <f t="shared" si="5"/>
        <v>0</v>
      </c>
      <c r="BA34" s="39">
        <f t="shared" si="7"/>
        <v>0</v>
      </c>
      <c r="BB34" s="5" t="str">
        <f t="shared" si="6"/>
        <v/>
      </c>
    </row>
    <row r="35" spans="2:54" ht="19.5" thickBot="1" x14ac:dyDescent="0.35">
      <c r="B35" s="70" t="str">
        <f t="shared" si="12"/>
        <v/>
      </c>
      <c r="C35" s="71" t="str">
        <f t="shared" si="9"/>
        <v/>
      </c>
      <c r="D35" s="72"/>
      <c r="E35" s="73"/>
      <c r="F35" s="73"/>
      <c r="G35" s="73"/>
      <c r="H35" s="74"/>
      <c r="I35" s="74" t="str">
        <f t="shared" ca="1" si="0"/>
        <v/>
      </c>
      <c r="J35" s="76" t="str">
        <f>IF(B35&lt;&gt;"",IF(AND(Feiertage!$G$2&lt;&gt;"ja",AV35=1),IF(AZ35&gt;0,BB35+AZ35,BB35),IF(AZ35=0,0, IF(I35&lt;&gt;"",AZ35-I35,AZ35)))+AX35,"")</f>
        <v/>
      </c>
      <c r="K35" s="73" t="str">
        <f>IF(B35&lt;&gt;"",IF(AV35=0,BB35,IF(Feiertage!$G$2="ja","00:00",BB35)),"")</f>
        <v/>
      </c>
      <c r="L35" s="52" t="str">
        <f t="shared" ca="1" si="11"/>
        <v/>
      </c>
      <c r="M35" s="50" t="str">
        <f>IF(AV35=1,AU35,IF(LOWER(AW35)=LOWER(Urlaub!$W$19),Urlaub!$S$19,
IF(LOWER(AW35)=LOWER(Urlaub!$W$20),Urlaub!$S$20,
IF(LOWER(AW35)=LOWER(Urlaub!$W$21),Urlaub!$S$21,
IF(LOWER(AW35)=LOWER(Urlaub!$W$22),Urlaub!$S$22,
IF(LOWER(AW35)=LOWER(Urlaub!$W$23),Urlaub!$S$23,
IF(LOWER(AW35)=LOWER(Urlaub!$W$24),Urlaub!$S$24,""))))))&amp;IF(AND(EXACT(LOWER(AW35),AW35),AW35&lt;&gt;0)," 1/2",""))</f>
        <v/>
      </c>
      <c r="N35" s="77" t="str">
        <f>IF(J35&lt;&gt;"",24*J35*IF(WEEKDAY(C35)=WEEKDAY($P$6),$S$6,
IF(WEEKDAY(C35)=WEEKDAY($P$7),$S$7,
IF(WEEKDAY(C35)=WEEKDAY($P$8),$S$8,
IF(WEEKDAY(C35)=WEEKDAY($P$9),$S$9,
IF(WEEKDAY(C35)=WEEKDAY($P$10),$S$10,
IF(WEEKDAY(C35)=WEEKDAY($P$11),$S$11,
IF(WEEKDAY(C35)=WEEKDAY($P$12),$S$12,""))))))),"")</f>
        <v/>
      </c>
      <c r="AU35" t="str">
        <f>IF(AV35=1,VLOOKUP($B35,Feiertage!$B$2:$D$49,3,FALSE),"")</f>
        <v/>
      </c>
      <c r="AV35">
        <f>IF(IFERROR(MATCH($B35,Feiertage!$B$2:$B$49,0)&gt;0,0),1,0)</f>
        <v>0</v>
      </c>
      <c r="AW35" s="22">
        <f>IFERROR(HLOOKUP(DAY(B35),Urlaub!$C$4:$AG$16,MONTH(B35)+1,FALSE),0)</f>
        <v>0</v>
      </c>
      <c r="AX35" s="38">
        <f t="shared" si="10"/>
        <v>0</v>
      </c>
      <c r="AY35" s="7" t="str">
        <f t="shared" si="4"/>
        <v/>
      </c>
      <c r="AZ35" s="5">
        <f t="shared" si="5"/>
        <v>0</v>
      </c>
      <c r="BA35" s="39">
        <f t="shared" si="7"/>
        <v>0</v>
      </c>
      <c r="BB35" s="5" t="str">
        <f t="shared" si="6"/>
        <v/>
      </c>
    </row>
    <row r="36" spans="2:54" ht="5.25" customHeight="1" thickTop="1" thickBot="1" x14ac:dyDescent="0.3">
      <c r="B36" s="1"/>
      <c r="H36" s="75"/>
      <c r="I36" s="75"/>
      <c r="J36" s="75"/>
      <c r="K36" s="2"/>
      <c r="L36" s="75"/>
    </row>
    <row r="37" spans="2:54" ht="24" thickBot="1" x14ac:dyDescent="0.4">
      <c r="B37" s="139" t="s">
        <v>74</v>
      </c>
      <c r="C37" s="140"/>
      <c r="D37" s="140"/>
      <c r="E37" s="140"/>
      <c r="F37" s="140"/>
      <c r="G37" s="140"/>
      <c r="H37" s="140"/>
      <c r="I37" s="141"/>
      <c r="J37" s="47">
        <f>SUM(J5:J35)</f>
        <v>0</v>
      </c>
      <c r="K37" s="47">
        <f t="shared" ref="K37" si="13">SUM(K5:K35)</f>
        <v>6.6666666666666643</v>
      </c>
      <c r="L37" s="47">
        <f ca="1">SUM(L5:L35)</f>
        <v>-6.6666666666666643</v>
      </c>
      <c r="M37" s="47">
        <f>SUM(AX5:AX35)</f>
        <v>0</v>
      </c>
      <c r="N37" s="48">
        <f t="shared" ref="N37" si="14">SUM(N5:N35)</f>
        <v>0</v>
      </c>
    </row>
    <row r="38" spans="2:54" x14ac:dyDescent="0.25">
      <c r="B38" s="1"/>
    </row>
    <row r="39" spans="2:54" x14ac:dyDescent="0.25">
      <c r="B39" s="1"/>
    </row>
  </sheetData>
  <sheetProtection algorithmName="SHA-512" hashValue="uf3gXCNE0zS3BRc9OO3TSjQHgcgJMmm4u12SAF8gS09dtqzblcgqYZGEpcPkh5ja+c9uLcfzNWB1oBQAoW4jPQ==" saltValue="nKJOwQlhdzfwP4P7/9Ct2A==" spinCount="100000" sheet="1" selectLockedCells="1"/>
  <customSheetViews>
    <customSheetView guid="{4652D98A-10A8-4A41-BE02-6BC110D8BB01}" showGridLines="0">
      <pane xSplit="4" ySplit="4" topLeftCell="E8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7">
    <mergeCell ref="B37:I37"/>
    <mergeCell ref="E3:H3"/>
    <mergeCell ref="B1:N1"/>
    <mergeCell ref="U4:V4"/>
    <mergeCell ref="P4:S4"/>
    <mergeCell ref="P15:V15"/>
    <mergeCell ref="P16:V18"/>
  </mergeCells>
  <conditionalFormatting sqref="B5:N35">
    <cfRule type="expression" dxfId="37" priority="2" stopIfTrue="1">
      <formula>WEEKDAY($B5,2)&gt;5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47BEBCA2-2DC3-4614-A56A-9D3ED89472F7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B5:N35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9"/>
  <sheetViews>
    <sheetView showGridLines="0" workbookViewId="0">
      <pane xSplit="4" ySplit="4" topLeftCell="E5" activePane="bottomRight" state="frozen"/>
      <selection activeCell="B1" sqref="B1:N1"/>
      <selection pane="topRight" activeCell="B1" sqref="B1:N1"/>
      <selection pane="bottomLeft" activeCell="B1" sqref="B1:N1"/>
      <selection pane="bottomRight" activeCell="E5" sqref="E5"/>
    </sheetView>
  </sheetViews>
  <sheetFormatPr baseColWidth="10" defaultRowHeight="15" x14ac:dyDescent="0.25"/>
  <cols>
    <col min="1" max="1" width="2.28515625" customWidth="1"/>
    <col min="2" max="2" width="8.85546875" customWidth="1"/>
    <col min="3" max="3" width="7.28515625" customWidth="1"/>
    <col min="4" max="4" width="1" customWidth="1"/>
    <col min="5" max="8" width="7.7109375" customWidth="1"/>
    <col min="9" max="9" width="8" customWidth="1"/>
    <col min="10" max="10" width="12.42578125" customWidth="1"/>
    <col min="11" max="11" width="12.140625" customWidth="1"/>
    <col min="12" max="12" width="12.85546875" customWidth="1"/>
    <col min="13" max="13" width="16.5703125" bestFit="1" customWidth="1"/>
    <col min="14" max="14" width="17.85546875" customWidth="1"/>
    <col min="15" max="15" width="4.28515625" customWidth="1"/>
    <col min="16" max="16" width="18.7109375" customWidth="1"/>
    <col min="17" max="17" width="12.28515625" customWidth="1"/>
    <col min="18" max="18" width="11.140625" customWidth="1"/>
    <col min="19" max="19" width="15.7109375" customWidth="1"/>
    <col min="20" max="20" width="4.140625" customWidth="1"/>
    <col min="21" max="21" width="29.140625" customWidth="1"/>
    <col min="22" max="22" width="16" customWidth="1"/>
    <col min="47" max="55" width="13.7109375" customWidth="1"/>
  </cols>
  <sheetData>
    <row r="1" spans="1:54" ht="24.75" customHeight="1" thickBot="1" x14ac:dyDescent="0.5">
      <c r="A1" s="117">
        <v>41639</v>
      </c>
      <c r="B1" s="142">
        <f>EDATE(Januar!$A$1,2)</f>
        <v>41698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54" s="21" customFormat="1" ht="24.75" customHeight="1" thickBot="1" x14ac:dyDescent="0.5">
      <c r="B2" s="59"/>
      <c r="C2" s="59"/>
      <c r="D2" s="59"/>
      <c r="E2" s="60"/>
      <c r="F2" s="60"/>
      <c r="G2" s="60"/>
      <c r="H2" s="60"/>
      <c r="I2" s="59"/>
      <c r="J2" s="59"/>
      <c r="K2" s="59"/>
      <c r="L2" s="59"/>
      <c r="M2" s="59"/>
      <c r="N2" s="59"/>
    </row>
    <row r="3" spans="1:54" ht="19.5" thickBot="1" x14ac:dyDescent="0.35">
      <c r="B3" s="58"/>
      <c r="C3" s="58"/>
      <c r="D3" s="58"/>
      <c r="E3" s="145" t="s">
        <v>0</v>
      </c>
      <c r="F3" s="146"/>
      <c r="G3" s="146"/>
      <c r="H3" s="147"/>
      <c r="I3" s="58"/>
      <c r="J3" s="58"/>
      <c r="K3" s="58"/>
      <c r="L3" s="58"/>
      <c r="M3" s="58"/>
      <c r="N3" s="58"/>
      <c r="O3" s="2"/>
    </row>
    <row r="4" spans="1:54" ht="19.5" thickBot="1" x14ac:dyDescent="0.35">
      <c r="B4" s="41" t="s">
        <v>4</v>
      </c>
      <c r="C4" s="41" t="s">
        <v>5</v>
      </c>
      <c r="D4" s="42"/>
      <c r="E4" s="41" t="s">
        <v>1</v>
      </c>
      <c r="F4" s="41" t="s">
        <v>2</v>
      </c>
      <c r="G4" s="41" t="s">
        <v>1</v>
      </c>
      <c r="H4" s="41" t="s">
        <v>2</v>
      </c>
      <c r="I4" s="41" t="s">
        <v>3</v>
      </c>
      <c r="J4" s="41" t="s">
        <v>7</v>
      </c>
      <c r="K4" s="41" t="s">
        <v>6</v>
      </c>
      <c r="L4" s="41" t="s">
        <v>11</v>
      </c>
      <c r="M4" s="41" t="s">
        <v>56</v>
      </c>
      <c r="N4" s="41" t="s">
        <v>71</v>
      </c>
      <c r="O4" s="20"/>
      <c r="P4" s="150" t="s">
        <v>10</v>
      </c>
      <c r="Q4" s="151"/>
      <c r="R4" s="151"/>
      <c r="S4" s="152"/>
      <c r="U4" s="148" t="s">
        <v>81</v>
      </c>
      <c r="V4" s="149"/>
      <c r="AU4" s="36" t="s">
        <v>46</v>
      </c>
      <c r="AV4" s="36" t="s">
        <v>46</v>
      </c>
      <c r="AW4" s="37" t="s">
        <v>66</v>
      </c>
      <c r="AX4" s="36" t="s">
        <v>67</v>
      </c>
      <c r="AY4" s="6" t="s">
        <v>3</v>
      </c>
      <c r="AZ4" s="36" t="s">
        <v>7</v>
      </c>
      <c r="BA4" s="36" t="s">
        <v>72</v>
      </c>
      <c r="BB4" s="6" t="s">
        <v>6</v>
      </c>
    </row>
    <row r="5" spans="1:54" ht="21.75" thickBot="1" x14ac:dyDescent="0.4">
      <c r="B5" s="45">
        <f>B1</f>
        <v>41698</v>
      </c>
      <c r="C5" s="46">
        <f>B5</f>
        <v>41698</v>
      </c>
      <c r="D5" s="3"/>
      <c r="E5" s="61"/>
      <c r="F5" s="61"/>
      <c r="G5" s="61"/>
      <c r="H5" s="61"/>
      <c r="I5" s="61" t="str">
        <f t="shared" ref="I5:I35" ca="1" si="0">IF(AZ5=0,"",IF(AY5=0,"",IF(OR(B5&lt;=TODAY(),AZ5),AY5,"")))</f>
        <v/>
      </c>
      <c r="J5" s="49">
        <f>IF(AND(Feiertage!$G$2&lt;&gt;"ja",AV5=1),IF(AZ5&gt;0,BB5+AZ5,BB5),IF(AZ5=0,0, IF(I5&lt;&gt;"",AZ5-I5,AZ5)))+AX5</f>
        <v>0</v>
      </c>
      <c r="K5" s="61">
        <f>IF(AV5=0,BB5,IF(Feiertage!$G$2="ja","00:00",BB5))</f>
        <v>0.33333333333333331</v>
      </c>
      <c r="L5" s="52">
        <f t="shared" ref="L5:L18" ca="1" si="1">IF(OR(B5&lt;=TODAY(),J5,AW5="G"),IF(J5&lt;&gt;"",IF(J5-K5=0,"",J5-K5),IF(K5&lt;&gt;"",-K5,"")),"")</f>
        <v>-0.33333333333333331</v>
      </c>
      <c r="M5" s="50" t="str">
        <f>IF(AV5=1,AU5,IF(LOWER(AW5)=LOWER(Urlaub!$W$19),Urlaub!$S$19,
IF(LOWER(AW5)=LOWER(Urlaub!$W$20),Urlaub!$S$20,
IF(LOWER(AW5)=LOWER(Urlaub!$W$21),Urlaub!$S$21,
IF(LOWER(AW5)=LOWER(Urlaub!$W$22),Urlaub!$S$22,
IF(LOWER(AW5)=LOWER(Urlaub!$W$23),Urlaub!$S$23,
IF(LOWER(AW5)=LOWER(Urlaub!$W$24),Urlaub!$S$24,""))))))&amp;IF(AND(EXACT(LOWER(AW5),AW5),AW5&lt;&gt;0)," 1/2",""))</f>
        <v/>
      </c>
      <c r="N5" s="51">
        <f t="shared" ref="N5:N32" si="2">24*J5*IF(WEEKDAY(C5)=WEEKDAY($P$6),$S$6,
IF(WEEKDAY(C5)=WEEKDAY($P$7),$S$7,
IF(WEEKDAY(C5)=WEEKDAY($P$8),$S$8,
IF(WEEKDAY(C5)=WEEKDAY($P$9),$S$9,
IF(WEEKDAY(C5)=WEEKDAY($P$10),$S$10,
IF(WEEKDAY(C5)=WEEKDAY($P$11),$S$11,
IF(WEEKDAY(C5)=WEEKDAY($P$12),$S$12,"")))))))</f>
        <v>0</v>
      </c>
      <c r="P5" s="41" t="s">
        <v>8</v>
      </c>
      <c r="Q5" s="41" t="s">
        <v>6</v>
      </c>
      <c r="R5" s="41" t="s">
        <v>3</v>
      </c>
      <c r="S5" s="41" t="s">
        <v>70</v>
      </c>
      <c r="U5" s="112" t="str">
        <f xml:space="preserve"> "Übertrag aus " &amp; IF( MONTH(B1)=1, YEAR(B1)-1, TEXT(EDATE(B1,-1),"MMMM"))</f>
        <v>Übertrag aus Februar</v>
      </c>
      <c r="V5" s="130">
        <f ca="1">IF(MONTH(B1)&gt;1,INDIRECT(TEXT(EDATE(B1,-1),"MMMM")&amp;"!v10"),"")</f>
        <v>-13.999999999999995</v>
      </c>
      <c r="AU5" t="str">
        <f>IF(AV5=1,VLOOKUP($B5,Feiertage!$B$2:$D$49,3,FALSE),"")</f>
        <v/>
      </c>
      <c r="AV5">
        <f>IF(IFERROR(MATCH($B5,Feiertage!$B$2:$B$49,0)&gt;0,0),1,0)</f>
        <v>0</v>
      </c>
      <c r="AW5" s="22">
        <f>IFERROR(HLOOKUP(DAY(B5),Urlaub!$C$4:$AG$16,MONTH(B5)+1,FALSE),0)</f>
        <v>0</v>
      </c>
      <c r="AX5" s="38">
        <f t="shared" ref="AX5:AX16" si="3">IFERROR(IF(AW5=0,0,IF(EXACT(LOWER(AW5),AW5),0.5*BB5,BB5)),"")</f>
        <v>0</v>
      </c>
      <c r="AY5" s="7">
        <f t="shared" ref="AY5:AY35" si="4">IFERROR(IF(WEEKDAY(C5)=WEEKDAY($P$6),$R$6,
IF(WEEKDAY(C5)=WEEKDAY($P$7),$R$7,
IF(WEEKDAY(C5)=WEEKDAY($P$8),$R$8,
IF(WEEKDAY(C5)=WEEKDAY($P$9),$R$9,
IF(WEEKDAY(C5)=WEEKDAY($P$10),$R$10,
IF(WEEKDAY(C5)=WEEKDAY($P$11),$R$11,
IF(WEEKDAY(C5)=WEEKDAY($P$12),$R$12,""))))))),"")</f>
        <v>2.0833333333333301E-2</v>
      </c>
      <c r="AZ5" s="5">
        <f t="shared" ref="AZ5:AZ35" si="5">IF(F5,IF(E5,IF(E5&gt;F5,F5+"24:00"-E5,F5-E5),0),0)+IF(G5,IF(G5,IF(G5&gt;H5,H5+"24:00"-G5,H5-G5),0),0)</f>
        <v>0</v>
      </c>
      <c r="BA5" s="39">
        <f>AZ5*24</f>
        <v>0</v>
      </c>
      <c r="BB5" s="5">
        <f t="shared" ref="BB5:BB35" si="6">IFERROR(IF(WEEKDAY(C5)=WEEKDAY($P$6),$Q$6,
IF(WEEKDAY(C5)=WEEKDAY($P$7),$Q$7,
IF(WEEKDAY(C5)=WEEKDAY($P$8),$Q$8,
IF(WEEKDAY(C5)=WEEKDAY($P$9),$Q$9,
IF(WEEKDAY(C5)=WEEKDAY($P$10),$Q$10,
IF(WEEKDAY(C5)=WEEKDAY($P$11),$Q$11,
IF(WEEKDAY(C5)=WEEKDAY($P$12),$Q$12,""))))))),"")</f>
        <v>0.33333333333333331</v>
      </c>
    </row>
    <row r="6" spans="1:54" ht="21" x14ac:dyDescent="0.35">
      <c r="B6" s="43">
        <f>B5+1</f>
        <v>41699</v>
      </c>
      <c r="C6" s="44">
        <f>B6</f>
        <v>41699</v>
      </c>
      <c r="D6" s="3"/>
      <c r="E6" s="62"/>
      <c r="F6" s="62"/>
      <c r="G6" s="62"/>
      <c r="H6" s="62"/>
      <c r="I6" s="62" t="str">
        <f t="shared" ca="1" si="0"/>
        <v/>
      </c>
      <c r="J6" s="52">
        <f>IF(AND(Feiertage!$G$2&lt;&gt;"ja",AV6=1),IF(AZ6&gt;0,BB6+AZ6,BB6),IF(AZ6=0,0, IF(I6&lt;&gt;"",AZ6-I6,AZ6)))+AX6</f>
        <v>0</v>
      </c>
      <c r="K6" s="62">
        <f>IF(AV6=0,BB6,IF(Feiertage!$G$2="ja","00:00",BB6))</f>
        <v>0.33333333333333331</v>
      </c>
      <c r="L6" s="52">
        <f t="shared" ca="1" si="1"/>
        <v>-0.33333333333333331</v>
      </c>
      <c r="M6" s="50" t="str">
        <f>IF(AV6=1,AU6,IF(LOWER(AW6)=LOWER(Urlaub!$W$19),Urlaub!$S$19,
IF(LOWER(AW6)=LOWER(Urlaub!$W$20),Urlaub!$S$20,
IF(LOWER(AW6)=LOWER(Urlaub!$W$21),Urlaub!$S$21,
IF(LOWER(AW6)=LOWER(Urlaub!$W$22),Urlaub!$S$22,
IF(LOWER(AW6)=LOWER(Urlaub!$W$23),Urlaub!$S$23,
IF(LOWER(AW6)=LOWER(Urlaub!$W$24),Urlaub!$S$24,""))))))&amp;IF(AND(EXACT(LOWER(AW6),AW6),AW6&lt;&gt;0)," 1/2",""))</f>
        <v/>
      </c>
      <c r="N6" s="53">
        <f t="shared" si="2"/>
        <v>0</v>
      </c>
      <c r="P6" s="54">
        <v>41639</v>
      </c>
      <c r="Q6" s="63">
        <v>0.33333333333333331</v>
      </c>
      <c r="R6" s="63">
        <v>2.0833333333333332E-2</v>
      </c>
      <c r="S6" s="64"/>
      <c r="U6" s="114" t="s">
        <v>6</v>
      </c>
      <c r="V6" s="113">
        <f>SUM(K5:K35)</f>
        <v>7.3333333333333304</v>
      </c>
      <c r="AU6" t="str">
        <f>IF(AV6=1,VLOOKUP($B6,Feiertage!$B$2:$D$49,3,FALSE),"")</f>
        <v/>
      </c>
      <c r="AV6">
        <f>IF(IFERROR(MATCH($B6,Feiertage!$B$2:$B$49,0)&gt;0,0),1,0)</f>
        <v>0</v>
      </c>
      <c r="AW6" s="22">
        <f>IFERROR(HLOOKUP(DAY(B6),Urlaub!$C$4:$AG$16,MONTH(B6)+1,FALSE),0)</f>
        <v>0</v>
      </c>
      <c r="AX6" s="38">
        <f t="shared" si="3"/>
        <v>0</v>
      </c>
      <c r="AY6" s="7">
        <f t="shared" si="4"/>
        <v>2.0833333333333301E-2</v>
      </c>
      <c r="AZ6" s="5">
        <f t="shared" si="5"/>
        <v>0</v>
      </c>
      <c r="BA6" s="39">
        <f t="shared" ref="BA6:BA35" si="7">AZ6*24</f>
        <v>0</v>
      </c>
      <c r="BB6" s="5">
        <f t="shared" si="6"/>
        <v>0.33333333333333331</v>
      </c>
    </row>
    <row r="7" spans="1:54" ht="21" x14ac:dyDescent="0.35">
      <c r="B7" s="43">
        <f t="shared" ref="B7:B32" si="8">B6+1</f>
        <v>41700</v>
      </c>
      <c r="C7" s="44">
        <f t="shared" ref="C7:C35" si="9">B7</f>
        <v>41700</v>
      </c>
      <c r="D7" s="3"/>
      <c r="E7" s="62"/>
      <c r="F7" s="62"/>
      <c r="G7" s="62"/>
      <c r="H7" s="62"/>
      <c r="I7" s="62" t="str">
        <f t="shared" ca="1" si="0"/>
        <v/>
      </c>
      <c r="J7" s="52">
        <f>IF(AND(Feiertage!$G$2&lt;&gt;"ja",AV7=1),IF(AZ7&gt;0,BB7+AZ7,BB7),IF(AZ7=0,0, IF(I7&lt;&gt;"",AZ7-I7,AZ7)))+AX7</f>
        <v>0</v>
      </c>
      <c r="K7" s="62">
        <f>IF(AV7=0,BB7,IF(Feiertage!$G$2="ja","00:00",BB7))</f>
        <v>0</v>
      </c>
      <c r="L7" s="52" t="str">
        <f t="shared" ca="1" si="1"/>
        <v/>
      </c>
      <c r="M7" s="50" t="str">
        <f>IF(AV7=1,AU7,IF(LOWER(AW7)=LOWER(Urlaub!$W$19),Urlaub!$S$19,
IF(LOWER(AW7)=LOWER(Urlaub!$W$20),Urlaub!$S$20,
IF(LOWER(AW7)=LOWER(Urlaub!$W$21),Urlaub!$S$21,
IF(LOWER(AW7)=LOWER(Urlaub!$W$22),Urlaub!$S$22,
IF(LOWER(AW7)=LOWER(Urlaub!$W$23),Urlaub!$S$23,
IF(LOWER(AW7)=LOWER(Urlaub!$W$24),Urlaub!$S$24,""))))))&amp;IF(AND(EXACT(LOWER(AW7),AW7),AW7&lt;&gt;0)," 1/2",""))</f>
        <v/>
      </c>
      <c r="N7" s="53">
        <f t="shared" si="2"/>
        <v>0</v>
      </c>
      <c r="P7" s="55">
        <v>41640</v>
      </c>
      <c r="Q7" s="65">
        <v>0.33333333333333331</v>
      </c>
      <c r="R7" s="63">
        <v>2.0833333333333332E-2</v>
      </c>
      <c r="S7" s="66"/>
      <c r="U7" s="114" t="s">
        <v>7</v>
      </c>
      <c r="V7" s="113">
        <f>SUM(J5:J35)</f>
        <v>0.33333333333333331</v>
      </c>
      <c r="AU7" t="str">
        <f>IF(AV7=1,VLOOKUP($B7,Feiertage!$B$2:$D$49,3,FALSE),"")</f>
        <v/>
      </c>
      <c r="AV7">
        <f>IF(IFERROR(MATCH($B7,Feiertage!$B$2:$B$49,0)&gt;0,0),1,0)</f>
        <v>0</v>
      </c>
      <c r="AW7" s="22">
        <f>IFERROR(HLOOKUP(DAY(B7),Urlaub!$C$4:$AG$16,MONTH(B7)+1,FALSE),0)</f>
        <v>0</v>
      </c>
      <c r="AX7" s="38">
        <f t="shared" si="3"/>
        <v>0</v>
      </c>
      <c r="AY7" s="7">
        <f t="shared" si="4"/>
        <v>2.0833333333333301E-2</v>
      </c>
      <c r="AZ7" s="5">
        <f t="shared" si="5"/>
        <v>0</v>
      </c>
      <c r="BA7" s="39">
        <f t="shared" si="7"/>
        <v>0</v>
      </c>
      <c r="BB7" s="5">
        <f t="shared" si="6"/>
        <v>0</v>
      </c>
    </row>
    <row r="8" spans="1:54" ht="21" x14ac:dyDescent="0.35">
      <c r="B8" s="43">
        <f t="shared" si="8"/>
        <v>41701</v>
      </c>
      <c r="C8" s="44">
        <f t="shared" si="9"/>
        <v>41701</v>
      </c>
      <c r="D8" s="3"/>
      <c r="E8" s="62"/>
      <c r="F8" s="62"/>
      <c r="G8" s="62"/>
      <c r="H8" s="62"/>
      <c r="I8" s="62" t="str">
        <f t="shared" ca="1" si="0"/>
        <v/>
      </c>
      <c r="J8" s="52">
        <f>IF(AND(Feiertage!$G$2&lt;&gt;"ja",AV8=1),IF(AZ8&gt;0,BB8+AZ8,BB8),IF(AZ8=0,0, IF(I8&lt;&gt;"",AZ8-I8,AZ8)))+AX8</f>
        <v>0</v>
      </c>
      <c r="K8" s="62">
        <f>IF(AV8=0,BB8,IF(Feiertage!$G$2="ja","00:00",BB8))</f>
        <v>0</v>
      </c>
      <c r="L8" s="52" t="str">
        <f t="shared" ca="1" si="1"/>
        <v/>
      </c>
      <c r="M8" s="50" t="str">
        <f>IF(AV8=1,AU8,IF(LOWER(AW8)=LOWER(Urlaub!$W$19),Urlaub!$S$19,
IF(LOWER(AW8)=LOWER(Urlaub!$W$20),Urlaub!$S$20,
IF(LOWER(AW8)=LOWER(Urlaub!$W$21),Urlaub!$S$21,
IF(LOWER(AW8)=LOWER(Urlaub!$W$22),Urlaub!$S$22,
IF(LOWER(AW8)=LOWER(Urlaub!$W$23),Urlaub!$S$23,
IF(LOWER(AW8)=LOWER(Urlaub!$W$24),Urlaub!$S$24,""))))))&amp;IF(AND(EXACT(LOWER(AW8),AW8),AW8&lt;&gt;0)," 1/2",""))</f>
        <v/>
      </c>
      <c r="N8" s="53">
        <f t="shared" si="2"/>
        <v>0</v>
      </c>
      <c r="P8" s="55">
        <v>41641</v>
      </c>
      <c r="Q8" s="65">
        <v>0.33333333333333331</v>
      </c>
      <c r="R8" s="63">
        <v>2.0833333333333301E-2</v>
      </c>
      <c r="S8" s="66"/>
      <c r="U8" s="115" t="str">
        <f xml:space="preserve"> "Saldo " &amp; TEXT(B1,"MMMM")</f>
        <v>Saldo März</v>
      </c>
      <c r="V8" s="132">
        <f ca="1">SUM(L5:L35)</f>
        <v>-6.9999999999999973</v>
      </c>
      <c r="AU8" t="str">
        <f>IF(AV8=1,VLOOKUP($B8,Feiertage!$B$2:$D$49,3,FALSE),"")</f>
        <v/>
      </c>
      <c r="AV8">
        <f>IF(IFERROR(MATCH($B8,Feiertage!$B$2:$B$49,0)&gt;0,0),1,0)</f>
        <v>0</v>
      </c>
      <c r="AW8" s="22">
        <f>IFERROR(HLOOKUP(DAY(B8),Urlaub!$C$4:$AG$16,MONTH(B8)+1,FALSE),0)</f>
        <v>0</v>
      </c>
      <c r="AX8" s="38">
        <f t="shared" si="3"/>
        <v>0</v>
      </c>
      <c r="AY8" s="7">
        <f t="shared" si="4"/>
        <v>2.0833333333333301E-2</v>
      </c>
      <c r="AZ8" s="5">
        <f t="shared" si="5"/>
        <v>0</v>
      </c>
      <c r="BA8" s="39">
        <f t="shared" si="7"/>
        <v>0</v>
      </c>
      <c r="BB8" s="5">
        <f t="shared" si="6"/>
        <v>0</v>
      </c>
    </row>
    <row r="9" spans="1:54" ht="18.75" x14ac:dyDescent="0.3">
      <c r="B9" s="43">
        <f t="shared" si="8"/>
        <v>41702</v>
      </c>
      <c r="C9" s="44">
        <f t="shared" si="9"/>
        <v>41702</v>
      </c>
      <c r="D9" s="3"/>
      <c r="E9" s="62"/>
      <c r="F9" s="62"/>
      <c r="G9" s="62"/>
      <c r="H9" s="62"/>
      <c r="I9" s="62" t="str">
        <f t="shared" ca="1" si="0"/>
        <v/>
      </c>
      <c r="J9" s="52">
        <f>IF(AND(Feiertage!$G$2&lt;&gt;"ja",AV9=1),IF(AZ9&gt;0,BB9+AZ9,BB9),IF(AZ9=0,0, IF(I9&lt;&gt;"",AZ9-I9,AZ9)))+AX9</f>
        <v>0</v>
      </c>
      <c r="K9" s="62">
        <f>IF(AV9=0,BB9,IF(Feiertage!$G$2="ja","00:00",BB9))</f>
        <v>0.33333333333333331</v>
      </c>
      <c r="L9" s="52">
        <f t="shared" ca="1" si="1"/>
        <v>-0.33333333333333331</v>
      </c>
      <c r="M9" s="50" t="str">
        <f>IF(AV9=1,AU9,IF(LOWER(AW9)=LOWER(Urlaub!$W$19),Urlaub!$S$19,
IF(LOWER(AW9)=LOWER(Urlaub!$W$20),Urlaub!$S$20,
IF(LOWER(AW9)=LOWER(Urlaub!$W$21),Urlaub!$S$21,
IF(LOWER(AW9)=LOWER(Urlaub!$W$22),Urlaub!$S$22,
IF(LOWER(AW9)=LOWER(Urlaub!$W$23),Urlaub!$S$23,
IF(LOWER(AW9)=LOWER(Urlaub!$W$24),Urlaub!$S$24,""))))))&amp;IF(AND(EXACT(LOWER(AW9),AW9),AW9&lt;&gt;0)," 1/2",""))</f>
        <v/>
      </c>
      <c r="N9" s="53">
        <f t="shared" si="2"/>
        <v>0</v>
      </c>
      <c r="P9" s="55">
        <v>41642</v>
      </c>
      <c r="Q9" s="65">
        <v>0.33333333333333331</v>
      </c>
      <c r="R9" s="63">
        <v>2.0833333333333301E-2</v>
      </c>
      <c r="S9" s="66"/>
      <c r="U9" s="131" t="s">
        <v>85</v>
      </c>
      <c r="V9" s="134"/>
      <c r="AU9" t="str">
        <f>IF(AV9=1,VLOOKUP($B9,Feiertage!$B$2:$D$49,3,FALSE),"")</f>
        <v/>
      </c>
      <c r="AV9">
        <f>IF(IFERROR(MATCH($B9,Feiertage!$B$2:$B$49,0)&gt;0,0),1,0)</f>
        <v>0</v>
      </c>
      <c r="AW9" s="22">
        <f>IFERROR(HLOOKUP(DAY(B9),Urlaub!$C$4:$AG$16,MONTH(B9)+1,FALSE),0)</f>
        <v>0</v>
      </c>
      <c r="AX9" s="38">
        <f t="shared" si="3"/>
        <v>0</v>
      </c>
      <c r="AY9" s="7">
        <f t="shared" si="4"/>
        <v>2.0833333333333332E-2</v>
      </c>
      <c r="AZ9" s="5">
        <f t="shared" si="5"/>
        <v>0</v>
      </c>
      <c r="BA9" s="39">
        <f t="shared" si="7"/>
        <v>0</v>
      </c>
      <c r="BB9" s="5">
        <f t="shared" si="6"/>
        <v>0.33333333333333331</v>
      </c>
    </row>
    <row r="10" spans="1:54" ht="21.75" thickBot="1" x14ac:dyDescent="0.4">
      <c r="B10" s="43">
        <f t="shared" si="8"/>
        <v>41703</v>
      </c>
      <c r="C10" s="44">
        <f t="shared" si="9"/>
        <v>41703</v>
      </c>
      <c r="D10" s="3"/>
      <c r="E10" s="62"/>
      <c r="F10" s="62"/>
      <c r="G10" s="62"/>
      <c r="H10" s="62"/>
      <c r="I10" s="62" t="str">
        <f t="shared" ca="1" si="0"/>
        <v/>
      </c>
      <c r="J10" s="52">
        <f>IF(AND(Feiertage!$G$2&lt;&gt;"ja",AV10=1),IF(AZ10&gt;0,BB10+AZ10,BB10),IF(AZ10=0,0, IF(I10&lt;&gt;"",AZ10-I10,AZ10)))+AX10</f>
        <v>0</v>
      </c>
      <c r="K10" s="62">
        <f>IF(AV10=0,BB10,IF(Feiertage!$G$2="ja","00:00",BB10))</f>
        <v>0.33333333333333331</v>
      </c>
      <c r="L10" s="52">
        <f t="shared" ca="1" si="1"/>
        <v>-0.33333333333333331</v>
      </c>
      <c r="M10" s="50" t="str">
        <f>IF(AV10=1,AU10,IF(LOWER(AW10)=LOWER(Urlaub!$W$19),Urlaub!$S$19,
IF(LOWER(AW10)=LOWER(Urlaub!$W$20),Urlaub!$S$20,
IF(LOWER(AW10)=LOWER(Urlaub!$W$21),Urlaub!$S$21,
IF(LOWER(AW10)=LOWER(Urlaub!$W$22),Urlaub!$S$22,
IF(LOWER(AW10)=LOWER(Urlaub!$W$23),Urlaub!$S$23,
IF(LOWER(AW10)=LOWER(Urlaub!$W$24),Urlaub!$S$24,""))))))&amp;IF(AND(EXACT(LOWER(AW10),AW10),AW10&lt;&gt;0)," 1/2",""))</f>
        <v/>
      </c>
      <c r="N10" s="53">
        <f t="shared" si="2"/>
        <v>0</v>
      </c>
      <c r="P10" s="55">
        <v>41643</v>
      </c>
      <c r="Q10" s="65">
        <v>0.33333333333333331</v>
      </c>
      <c r="R10" s="63">
        <v>2.0833333333333301E-2</v>
      </c>
      <c r="S10" s="66"/>
      <c r="U10" s="116" t="str">
        <f xml:space="preserve"> "Übertrag in " &amp;  IF( MONTH(B1)=12, YEAR(B1)+1, TEXT(EDATE(B1,1),"MMMM"))</f>
        <v>Übertrag in April</v>
      </c>
      <c r="V10" s="133">
        <f ca="1">IF(V5="",0,V5)+V8+V9</f>
        <v>-20.999999999999993</v>
      </c>
      <c r="AU10" t="str">
        <f>IF(AV10=1,VLOOKUP($B10,Feiertage!$B$2:$D$49,3,FALSE),"")</f>
        <v/>
      </c>
      <c r="AV10">
        <f>IF(IFERROR(MATCH($B10,Feiertage!$B$2:$B$49,0)&gt;0,0),1,0)</f>
        <v>0</v>
      </c>
      <c r="AW10" s="22">
        <f>IFERROR(HLOOKUP(DAY(B10),Urlaub!$C$4:$AG$16,MONTH(B10)+1,FALSE),0)</f>
        <v>0</v>
      </c>
      <c r="AX10" s="38">
        <f t="shared" si="3"/>
        <v>0</v>
      </c>
      <c r="AY10" s="7">
        <f t="shared" si="4"/>
        <v>2.0833333333333332E-2</v>
      </c>
      <c r="AZ10" s="5">
        <f t="shared" si="5"/>
        <v>0</v>
      </c>
      <c r="BA10" s="39">
        <f t="shared" si="7"/>
        <v>0</v>
      </c>
      <c r="BB10" s="5">
        <f t="shared" si="6"/>
        <v>0.33333333333333331</v>
      </c>
    </row>
    <row r="11" spans="1:54" ht="18.75" x14ac:dyDescent="0.3">
      <c r="B11" s="43">
        <f t="shared" si="8"/>
        <v>41704</v>
      </c>
      <c r="C11" s="44">
        <f t="shared" si="9"/>
        <v>41704</v>
      </c>
      <c r="D11" s="3"/>
      <c r="E11" s="62"/>
      <c r="F11" s="62"/>
      <c r="G11" s="62"/>
      <c r="H11" s="62"/>
      <c r="I11" s="62" t="str">
        <f t="shared" ca="1" si="0"/>
        <v/>
      </c>
      <c r="J11" s="52">
        <f>IF(AND(Feiertage!$G$2&lt;&gt;"ja",AV11=1),IF(AZ11&gt;0,BB11+AZ11,BB11),IF(AZ11=0,0, IF(I11&lt;&gt;"",AZ11-I11,AZ11)))+AX11</f>
        <v>0</v>
      </c>
      <c r="K11" s="62">
        <f>IF(AV11=0,BB11,IF(Feiertage!$G$2="ja","00:00",BB11))</f>
        <v>0.33333333333333331</v>
      </c>
      <c r="L11" s="52">
        <f t="shared" ca="1" si="1"/>
        <v>-0.33333333333333331</v>
      </c>
      <c r="M11" s="50" t="str">
        <f>IF(AV11=1,AU11,IF(LOWER(AW11)=LOWER(Urlaub!$W$19),Urlaub!$S$19,
IF(LOWER(AW11)=LOWER(Urlaub!$W$20),Urlaub!$S$20,
IF(LOWER(AW11)=LOWER(Urlaub!$W$21),Urlaub!$S$21,
IF(LOWER(AW11)=LOWER(Urlaub!$W$22),Urlaub!$S$22,
IF(LOWER(AW11)=LOWER(Urlaub!$W$23),Urlaub!$S$23,
IF(LOWER(AW11)=LOWER(Urlaub!$W$24),Urlaub!$S$24,""))))))&amp;IF(AND(EXACT(LOWER(AW11),AW11),AW11&lt;&gt;0)," 1/2",""))</f>
        <v/>
      </c>
      <c r="N11" s="53">
        <f t="shared" si="2"/>
        <v>0</v>
      </c>
      <c r="O11" s="21"/>
      <c r="P11" s="79">
        <v>41644</v>
      </c>
      <c r="Q11" s="67">
        <v>0</v>
      </c>
      <c r="R11" s="63">
        <v>2.0833333333333301E-2</v>
      </c>
      <c r="S11" s="66"/>
      <c r="AU11" t="str">
        <f>IF(AV11=1,VLOOKUP($B11,Feiertage!$B$2:$D$49,3,FALSE),"")</f>
        <v/>
      </c>
      <c r="AV11">
        <f>IF(IFERROR(MATCH($B11,Feiertage!$B$2:$B$49,0)&gt;0,0),1,0)</f>
        <v>0</v>
      </c>
      <c r="AW11" s="22">
        <f>IFERROR(HLOOKUP(DAY(B11),Urlaub!$C$4:$AG$16,MONTH(B11)+1,FALSE),0)</f>
        <v>0</v>
      </c>
      <c r="AX11" s="38">
        <f t="shared" si="3"/>
        <v>0</v>
      </c>
      <c r="AY11" s="7">
        <f t="shared" si="4"/>
        <v>2.0833333333333301E-2</v>
      </c>
      <c r="AZ11" s="5">
        <f>IF(F11,IF(E11,IF(E11&gt;F11,F11+"24:00"-E11,F11-E11),0),0)+IF(G11,IF(G11,IF(G11&gt;H11,H11+"24:00"-G11,H11-G11),0),0)</f>
        <v>0</v>
      </c>
      <c r="BA11" s="39">
        <f t="shared" si="7"/>
        <v>0</v>
      </c>
      <c r="BB11" s="5">
        <f t="shared" si="6"/>
        <v>0.33333333333333331</v>
      </c>
    </row>
    <row r="12" spans="1:54" ht="19.5" thickBot="1" x14ac:dyDescent="0.35">
      <c r="B12" s="43">
        <f t="shared" si="8"/>
        <v>41705</v>
      </c>
      <c r="C12" s="44">
        <f t="shared" si="9"/>
        <v>41705</v>
      </c>
      <c r="D12" s="3"/>
      <c r="E12" s="62"/>
      <c r="F12" s="62"/>
      <c r="G12" s="62"/>
      <c r="H12" s="62"/>
      <c r="I12" s="62" t="str">
        <f t="shared" ca="1" si="0"/>
        <v/>
      </c>
      <c r="J12" s="52">
        <f>IF(AND(Feiertage!$G$2&lt;&gt;"ja",AV12=1),IF(AZ12&gt;0,BB12+AZ12,BB12),IF(AZ12=0,0, IF(I12&lt;&gt;"",AZ12-I12,AZ12)))+AX12</f>
        <v>0</v>
      </c>
      <c r="K12" s="62">
        <f>IF(AV12=0,BB12,IF(Feiertage!$G$2="ja","00:00",BB12))</f>
        <v>0.33333333333333331</v>
      </c>
      <c r="L12" s="52">
        <f t="shared" ca="1" si="1"/>
        <v>-0.33333333333333331</v>
      </c>
      <c r="M12" s="50" t="str">
        <f>IF(AV12=1,AU12,IF(LOWER(AW12)=LOWER(Urlaub!$W$19),Urlaub!$S$19,
IF(LOWER(AW12)=LOWER(Urlaub!$W$20),Urlaub!$S$20,
IF(LOWER(AW12)=LOWER(Urlaub!$W$21),Urlaub!$S$21,
IF(LOWER(AW12)=LOWER(Urlaub!$W$22),Urlaub!$S$22,
IF(LOWER(AW12)=LOWER(Urlaub!$W$23),Urlaub!$S$23,
IF(LOWER(AW12)=LOWER(Urlaub!$W$24),Urlaub!$S$24,""))))))&amp;IF(AND(EXACT(LOWER(AW12),AW12),AW12&lt;&gt;0)," 1/2",""))</f>
        <v/>
      </c>
      <c r="N12" s="53">
        <f t="shared" si="2"/>
        <v>0</v>
      </c>
      <c r="P12" s="80">
        <v>41645</v>
      </c>
      <c r="Q12" s="68">
        <v>0</v>
      </c>
      <c r="R12" s="110">
        <v>2.0833333333333301E-2</v>
      </c>
      <c r="S12" s="69"/>
      <c r="AU12" t="str">
        <f>IF(AV12=1,VLOOKUP($B12,Feiertage!$B$2:$D$49,3,FALSE),"")</f>
        <v/>
      </c>
      <c r="AV12">
        <f>IF(IFERROR(MATCH($B12,Feiertage!$B$2:$B$49,0)&gt;0,0),1,0)</f>
        <v>0</v>
      </c>
      <c r="AW12" s="22">
        <f>IFERROR(HLOOKUP(DAY(B12),Urlaub!$C$4:$AG$16,MONTH(B12)+1,FALSE),0)</f>
        <v>0</v>
      </c>
      <c r="AX12" s="38">
        <f t="shared" si="3"/>
        <v>0</v>
      </c>
      <c r="AY12" s="7">
        <f t="shared" si="4"/>
        <v>2.0833333333333301E-2</v>
      </c>
      <c r="AZ12" s="5">
        <f>IF(F12,IF(E12,IF(E12&gt;F12,F12+"24:00"-E12,F12-E12),0),0)+IF(G12,IF(G12,IF(G12&gt;H12,H12+"24:00"-G12,H12-G12),0),0)</f>
        <v>0</v>
      </c>
      <c r="BA12" s="39">
        <f t="shared" si="7"/>
        <v>0</v>
      </c>
      <c r="BB12" s="5">
        <f t="shared" si="6"/>
        <v>0.33333333333333331</v>
      </c>
    </row>
    <row r="13" spans="1:54" ht="19.5" thickBot="1" x14ac:dyDescent="0.35">
      <c r="B13" s="43">
        <f t="shared" si="8"/>
        <v>41706</v>
      </c>
      <c r="C13" s="44">
        <f t="shared" si="9"/>
        <v>41706</v>
      </c>
      <c r="D13" s="3"/>
      <c r="E13" s="62"/>
      <c r="F13" s="62"/>
      <c r="G13" s="62"/>
      <c r="H13" s="62"/>
      <c r="I13" s="62" t="str">
        <f t="shared" ca="1" si="0"/>
        <v/>
      </c>
      <c r="J13" s="52">
        <f>IF(AND(Feiertage!$G$2&lt;&gt;"ja",AV13=1),IF(AZ13&gt;0,BB13+AZ13,BB13),IF(AZ13=0,0, IF(I13&lt;&gt;"",AZ13-I13,AZ13)))+AX13</f>
        <v>0</v>
      </c>
      <c r="K13" s="62">
        <f>IF(AV13=0,BB13,IF(Feiertage!$G$2="ja","00:00",BB13))</f>
        <v>0.33333333333333331</v>
      </c>
      <c r="L13" s="52">
        <f t="shared" ca="1" si="1"/>
        <v>-0.33333333333333331</v>
      </c>
      <c r="M13" s="50" t="str">
        <f>IF(AV13=1,AU13,IF(LOWER(AW13)=LOWER(Urlaub!$W$19),Urlaub!$S$19,
IF(LOWER(AW13)=LOWER(Urlaub!$W$20),Urlaub!$S$20,
IF(LOWER(AW13)=LOWER(Urlaub!$W$21),Urlaub!$S$21,
IF(LOWER(AW13)=LOWER(Urlaub!$W$22),Urlaub!$S$22,
IF(LOWER(AW13)=LOWER(Urlaub!$W$23),Urlaub!$S$23,
IF(LOWER(AW13)=LOWER(Urlaub!$W$24),Urlaub!$S$24,""))))))&amp;IF(AND(EXACT(LOWER(AW13),AW13),AW13&lt;&gt;0)," 1/2",""))</f>
        <v/>
      </c>
      <c r="N13" s="53">
        <f t="shared" si="2"/>
        <v>0</v>
      </c>
      <c r="P13" s="56" t="s">
        <v>9</v>
      </c>
      <c r="Q13" s="57">
        <f>SUM(Q6:Q12)</f>
        <v>1.6666666666666665</v>
      </c>
      <c r="R13" s="4"/>
      <c r="Y13" s="7"/>
      <c r="AU13" t="str">
        <f>IF(AV13=1,VLOOKUP($B13,Feiertage!$B$2:$D$49,3,FALSE),"")</f>
        <v/>
      </c>
      <c r="AV13">
        <f>IF(IFERROR(MATCH($B13,Feiertage!$B$2:$B$49,0)&gt;0,0),1,0)</f>
        <v>0</v>
      </c>
      <c r="AW13" s="22">
        <f>IFERROR(HLOOKUP(DAY(B13),Urlaub!$C$4:$AG$16,MONTH(B13)+1,FALSE),0)</f>
        <v>0</v>
      </c>
      <c r="AX13" s="38">
        <f t="shared" si="3"/>
        <v>0</v>
      </c>
      <c r="AY13" s="7">
        <f t="shared" si="4"/>
        <v>2.0833333333333301E-2</v>
      </c>
      <c r="AZ13" s="5">
        <f t="shared" si="5"/>
        <v>0</v>
      </c>
      <c r="BA13" s="39">
        <f t="shared" si="7"/>
        <v>0</v>
      </c>
      <c r="BB13" s="5">
        <f t="shared" si="6"/>
        <v>0.33333333333333331</v>
      </c>
    </row>
    <row r="14" spans="1:54" ht="18.75" x14ac:dyDescent="0.3">
      <c r="B14" s="43">
        <f t="shared" si="8"/>
        <v>41707</v>
      </c>
      <c r="C14" s="44">
        <f t="shared" si="9"/>
        <v>41707</v>
      </c>
      <c r="D14" s="3"/>
      <c r="E14" s="62"/>
      <c r="F14" s="62"/>
      <c r="G14" s="62"/>
      <c r="H14" s="62"/>
      <c r="I14" s="62" t="str">
        <f t="shared" ca="1" si="0"/>
        <v/>
      </c>
      <c r="J14" s="52">
        <f>IF(AND(Feiertage!$G$2&lt;&gt;"ja",AV14=1),IF(AZ14&gt;0,BB14+AZ14,BB14),IF(AZ14=0,0, IF(I14&lt;&gt;"",AZ14-I14,AZ14)))+AX14</f>
        <v>0</v>
      </c>
      <c r="K14" s="62">
        <f>IF(AV14=0,BB14,IF(Feiertage!$G$2="ja","00:00",BB14))</f>
        <v>0</v>
      </c>
      <c r="L14" s="52" t="str">
        <f t="shared" ca="1" si="1"/>
        <v/>
      </c>
      <c r="M14" s="50" t="str">
        <f>IF(AV14=1,AU14,IF(LOWER(AW14)=LOWER(Urlaub!$W$19),Urlaub!$S$19,
IF(LOWER(AW14)=LOWER(Urlaub!$W$20),Urlaub!$S$20,
IF(LOWER(AW14)=LOWER(Urlaub!$W$21),Urlaub!$S$21,
IF(LOWER(AW14)=LOWER(Urlaub!$W$22),Urlaub!$S$22,
IF(LOWER(AW14)=LOWER(Urlaub!$W$23),Urlaub!$S$23,
IF(LOWER(AW14)=LOWER(Urlaub!$W$24),Urlaub!$S$24,""))))))&amp;IF(AND(EXACT(LOWER(AW14),AW14),AW14&lt;&gt;0)," 1/2",""))</f>
        <v/>
      </c>
      <c r="N14" s="53">
        <f t="shared" si="2"/>
        <v>0</v>
      </c>
      <c r="O14" s="6"/>
      <c r="AU14" t="str">
        <f>IF(AV14=1,VLOOKUP($B14,Feiertage!$B$2:$D$49,3,FALSE),"")</f>
        <v/>
      </c>
      <c r="AV14">
        <f>IF(IFERROR(MATCH($B14,Feiertage!$B$2:$B$49,0)&gt;0,0),1,0)</f>
        <v>0</v>
      </c>
      <c r="AW14" s="22">
        <f>IFERROR(HLOOKUP(DAY(B14),Urlaub!$C$4:$AG$16,MONTH(B14)+1,FALSE),0)</f>
        <v>0</v>
      </c>
      <c r="AX14" s="38">
        <f t="shared" si="3"/>
        <v>0</v>
      </c>
      <c r="AY14" s="7">
        <f t="shared" si="4"/>
        <v>2.0833333333333301E-2</v>
      </c>
      <c r="AZ14" s="5">
        <f t="shared" si="5"/>
        <v>0</v>
      </c>
      <c r="BA14" s="39">
        <f t="shared" si="7"/>
        <v>0</v>
      </c>
      <c r="BB14" s="5">
        <f t="shared" si="6"/>
        <v>0</v>
      </c>
    </row>
    <row r="15" spans="1:54" ht="19.5" thickBot="1" x14ac:dyDescent="0.35">
      <c r="B15" s="43">
        <f t="shared" si="8"/>
        <v>41708</v>
      </c>
      <c r="C15" s="44">
        <f t="shared" si="9"/>
        <v>41708</v>
      </c>
      <c r="D15" s="3"/>
      <c r="E15" s="62"/>
      <c r="F15" s="62"/>
      <c r="G15" s="62"/>
      <c r="H15" s="62"/>
      <c r="I15" s="62" t="str">
        <f t="shared" ca="1" si="0"/>
        <v/>
      </c>
      <c r="J15" s="52">
        <f>IF(AND(Feiertage!$G$2&lt;&gt;"ja",AV15=1),IF(AZ15&gt;0,BB15+AZ15,BB15),IF(AZ15=0,0, IF(I15&lt;&gt;"",AZ15-I15,AZ15)))+AX15</f>
        <v>0</v>
      </c>
      <c r="K15" s="62">
        <f>IF(AV15=0,BB15,IF(Feiertage!$G$2="ja","00:00",BB15))</f>
        <v>0</v>
      </c>
      <c r="L15" s="52" t="str">
        <f t="shared" ca="1" si="1"/>
        <v/>
      </c>
      <c r="M15" s="50" t="str">
        <f>IF(AV15=1,AU15,IF(LOWER(AW15)=LOWER(Urlaub!$W$19),Urlaub!$S$19,
IF(LOWER(AW15)=LOWER(Urlaub!$W$20),Urlaub!$S$20,
IF(LOWER(AW15)=LOWER(Urlaub!$W$21),Urlaub!$S$21,
IF(LOWER(AW15)=LOWER(Urlaub!$W$22),Urlaub!$S$22,
IF(LOWER(AW15)=LOWER(Urlaub!$W$23),Urlaub!$S$23,
IF(LOWER(AW15)=LOWER(Urlaub!$W$24),Urlaub!$S$24,""))))))&amp;IF(AND(EXACT(LOWER(AW15),AW15),AW15&lt;&gt;0)," 1/2",""))</f>
        <v/>
      </c>
      <c r="N15" s="53">
        <f t="shared" si="2"/>
        <v>0</v>
      </c>
      <c r="P15" s="153" t="s">
        <v>86</v>
      </c>
      <c r="Q15" s="154"/>
      <c r="R15" s="154"/>
      <c r="S15" s="154"/>
      <c r="T15" s="154"/>
      <c r="U15" s="154"/>
      <c r="V15" s="154"/>
      <c r="AU15" t="str">
        <f>IF(AV15=1,VLOOKUP($B15,Feiertage!$B$2:$D$49,3,FALSE),"")</f>
        <v/>
      </c>
      <c r="AV15">
        <f>IF(IFERROR(MATCH($B15,Feiertage!$B$2:$B$49,0)&gt;0,0),1,0)</f>
        <v>0</v>
      </c>
      <c r="AW15" s="22">
        <f>IFERROR(HLOOKUP(DAY(B15),Urlaub!$C$4:$AG$16,MONTH(B15)+1,FALSE),0)</f>
        <v>0</v>
      </c>
      <c r="AX15" s="38">
        <f t="shared" si="3"/>
        <v>0</v>
      </c>
      <c r="AY15" s="7">
        <f t="shared" si="4"/>
        <v>2.0833333333333301E-2</v>
      </c>
      <c r="AZ15" s="5">
        <f t="shared" si="5"/>
        <v>0</v>
      </c>
      <c r="BA15" s="39">
        <f t="shared" si="7"/>
        <v>0</v>
      </c>
      <c r="BB15" s="5">
        <f t="shared" si="6"/>
        <v>0</v>
      </c>
    </row>
    <row r="16" spans="1:54" ht="18.75" x14ac:dyDescent="0.3">
      <c r="B16" s="43">
        <f t="shared" si="8"/>
        <v>41709</v>
      </c>
      <c r="C16" s="44">
        <f t="shared" si="9"/>
        <v>41709</v>
      </c>
      <c r="D16" s="3"/>
      <c r="E16" s="62"/>
      <c r="F16" s="62"/>
      <c r="G16" s="62"/>
      <c r="H16" s="62"/>
      <c r="I16" s="62" t="str">
        <f t="shared" ca="1" si="0"/>
        <v/>
      </c>
      <c r="J16" s="52">
        <f>IF(AND(Feiertage!$G$2&lt;&gt;"ja",AV16=1),IF(AZ16&gt;0,BB16+AZ16,BB16),IF(AZ16=0,0, IF(I16&lt;&gt;"",AZ16-I16,AZ16)))+AX16</f>
        <v>0</v>
      </c>
      <c r="K16" s="62">
        <f>IF(AV16=0,BB16,IF(Feiertage!$G$2="ja","00:00",BB16))</f>
        <v>0.33333333333333331</v>
      </c>
      <c r="L16" s="52">
        <f t="shared" ca="1" si="1"/>
        <v>-0.33333333333333331</v>
      </c>
      <c r="M16" s="50" t="str">
        <f>IF(AV16=1,AU16,IF(LOWER(AW16)=LOWER(Urlaub!$W$19),Urlaub!$S$19,
IF(LOWER(AW16)=LOWER(Urlaub!$W$20),Urlaub!$S$20,
IF(LOWER(AW16)=LOWER(Urlaub!$W$21),Urlaub!$S$21,
IF(LOWER(AW16)=LOWER(Urlaub!$W$22),Urlaub!$S$22,
IF(LOWER(AW16)=LOWER(Urlaub!$W$23),Urlaub!$S$23,
IF(LOWER(AW16)=LOWER(Urlaub!$W$24),Urlaub!$S$24,""))))))&amp;IF(AND(EXACT(LOWER(AW16),AW16),AW16&lt;&gt;0)," 1/2",""))</f>
        <v/>
      </c>
      <c r="N16" s="53">
        <f t="shared" si="2"/>
        <v>0</v>
      </c>
      <c r="P16" s="155"/>
      <c r="Q16" s="156"/>
      <c r="R16" s="156"/>
      <c r="S16" s="156"/>
      <c r="T16" s="156"/>
      <c r="U16" s="156"/>
      <c r="V16" s="157"/>
      <c r="AU16" t="str">
        <f>IF(AV16=1,VLOOKUP($B16,Feiertage!$B$2:$D$49,3,FALSE),"")</f>
        <v/>
      </c>
      <c r="AV16">
        <f>IF(IFERROR(MATCH($B16,Feiertage!$B$2:$B$49,0)&gt;0,0),1,0)</f>
        <v>0</v>
      </c>
      <c r="AW16" s="22">
        <f>IFERROR(HLOOKUP(DAY(B16),Urlaub!$C$4:$AG$16,MONTH(B16)+1,FALSE),0)</f>
        <v>0</v>
      </c>
      <c r="AX16" s="38">
        <f t="shared" si="3"/>
        <v>0</v>
      </c>
      <c r="AY16" s="7">
        <f t="shared" si="4"/>
        <v>2.0833333333333332E-2</v>
      </c>
      <c r="AZ16" s="5">
        <f t="shared" si="5"/>
        <v>0</v>
      </c>
      <c r="BA16" s="39">
        <f t="shared" si="7"/>
        <v>0</v>
      </c>
      <c r="BB16" s="5">
        <f t="shared" si="6"/>
        <v>0.33333333333333331</v>
      </c>
    </row>
    <row r="17" spans="2:54" ht="18.75" x14ac:dyDescent="0.3">
      <c r="B17" s="43">
        <f t="shared" si="8"/>
        <v>41710</v>
      </c>
      <c r="C17" s="44">
        <f t="shared" si="9"/>
        <v>41710</v>
      </c>
      <c r="D17" s="3"/>
      <c r="E17" s="62"/>
      <c r="F17" s="62"/>
      <c r="G17" s="62"/>
      <c r="H17" s="62"/>
      <c r="I17" s="62" t="str">
        <f t="shared" ca="1" si="0"/>
        <v/>
      </c>
      <c r="J17" s="52">
        <f>IF(AND(Feiertage!$G$2&lt;&gt;"ja",AV17=1),IF(AZ17&gt;0,BB17+AZ17,BB17),IF(AZ17=0,0, IF(I17&lt;&gt;"",AZ17-I17,AZ17)))+AX17</f>
        <v>0</v>
      </c>
      <c r="K17" s="62">
        <f>IF(AV17=0,BB17,IF(Feiertage!$G$2="ja","00:00",BB17))</f>
        <v>0.33333333333333331</v>
      </c>
      <c r="L17" s="52">
        <f t="shared" ca="1" si="1"/>
        <v>-0.33333333333333331</v>
      </c>
      <c r="M17" s="50" t="str">
        <f>IF(AV17=1,AU17,IF(LOWER(AW17)=LOWER(Urlaub!$W$19),Urlaub!$S$19,
IF(LOWER(AW17)=LOWER(Urlaub!$W$20),Urlaub!$S$20,
IF(LOWER(AW17)=LOWER(Urlaub!$W$21),Urlaub!$S$21,
IF(LOWER(AW17)=LOWER(Urlaub!$W$22),Urlaub!$S$22,
IF(LOWER(AW17)=LOWER(Urlaub!$W$23),Urlaub!$S$23,
IF(LOWER(AW17)=LOWER(Urlaub!$W$24),Urlaub!$S$24,""))))))&amp;IF(AND(EXACT(LOWER(AW17),AW17),AW17&lt;&gt;0)," 1/2",""))</f>
        <v/>
      </c>
      <c r="N17" s="53">
        <f t="shared" si="2"/>
        <v>0</v>
      </c>
      <c r="P17" s="158"/>
      <c r="Q17" s="159"/>
      <c r="R17" s="159"/>
      <c r="S17" s="159"/>
      <c r="T17" s="159"/>
      <c r="U17" s="159"/>
      <c r="V17" s="160"/>
      <c r="AU17" t="str">
        <f>IF(AV17=1,VLOOKUP($B17,Feiertage!$B$2:$D$49,3,FALSE),"")</f>
        <v/>
      </c>
      <c r="AV17">
        <f>IF(IFERROR(MATCH($B17,Feiertage!$B$2:$B$49,0)&gt;0,0),1,0)</f>
        <v>0</v>
      </c>
      <c r="AW17" s="22">
        <f>IFERROR(HLOOKUP(DAY(B17),Urlaub!$C$4:$AG$16,MONTH(B17)+1,FALSE),0)</f>
        <v>0</v>
      </c>
      <c r="AX17" s="38">
        <f t="shared" ref="AX17:AX35" si="10">IFERROR(IF(OR(AW17=0,AW17="G"),0,IF(EXACT(LOWER(AW17),AW17),0.5*BB17,BB17)),"")</f>
        <v>0</v>
      </c>
      <c r="AY17" s="7">
        <f t="shared" si="4"/>
        <v>2.0833333333333332E-2</v>
      </c>
      <c r="AZ17" s="5">
        <f t="shared" si="5"/>
        <v>0</v>
      </c>
      <c r="BA17" s="39">
        <f t="shared" si="7"/>
        <v>0</v>
      </c>
      <c r="BB17" s="5">
        <f t="shared" si="6"/>
        <v>0.33333333333333331</v>
      </c>
    </row>
    <row r="18" spans="2:54" ht="19.5" thickBot="1" x14ac:dyDescent="0.35">
      <c r="B18" s="43">
        <f t="shared" si="8"/>
        <v>41711</v>
      </c>
      <c r="C18" s="44">
        <f t="shared" si="9"/>
        <v>41711</v>
      </c>
      <c r="D18" s="3"/>
      <c r="E18" s="62"/>
      <c r="F18" s="62"/>
      <c r="G18" s="62"/>
      <c r="H18" s="62"/>
      <c r="I18" s="62" t="str">
        <f t="shared" ca="1" si="0"/>
        <v/>
      </c>
      <c r="J18" s="52">
        <f>IF(AND(Feiertage!$G$2&lt;&gt;"ja",AV18=1),IF(AZ18&gt;0,BB18+AZ18,BB18),IF(AZ18=0,0, IF(I18&lt;&gt;"",AZ18-I18,AZ18)))+AX18</f>
        <v>0</v>
      </c>
      <c r="K18" s="62">
        <f>IF(AV18=0,BB18,IF(Feiertage!$G$2="ja","00:00",BB18))</f>
        <v>0.33333333333333331</v>
      </c>
      <c r="L18" s="52">
        <f t="shared" ca="1" si="1"/>
        <v>-0.33333333333333331</v>
      </c>
      <c r="M18" s="50" t="str">
        <f>IF(AV18=1,AU18,IF(LOWER(AW18)=LOWER(Urlaub!$W$19),Urlaub!$S$19,
IF(LOWER(AW18)=LOWER(Urlaub!$W$20),Urlaub!$S$20,
IF(LOWER(AW18)=LOWER(Urlaub!$W$21),Urlaub!$S$21,
IF(LOWER(AW18)=LOWER(Urlaub!$W$22),Urlaub!$S$22,
IF(LOWER(AW18)=LOWER(Urlaub!$W$23),Urlaub!$S$23,
IF(LOWER(AW18)=LOWER(Urlaub!$W$24),Urlaub!$S$24,""))))))&amp;IF(AND(EXACT(LOWER(AW18),AW18),AW18&lt;&gt;0)," 1/2",""))</f>
        <v/>
      </c>
      <c r="N18" s="53">
        <f t="shared" si="2"/>
        <v>0</v>
      </c>
      <c r="P18" s="161"/>
      <c r="Q18" s="162"/>
      <c r="R18" s="162"/>
      <c r="S18" s="162"/>
      <c r="T18" s="162"/>
      <c r="U18" s="162"/>
      <c r="V18" s="163"/>
      <c r="AU18" t="str">
        <f>IF(AV18=1,VLOOKUP($B18,Feiertage!$B$2:$D$49,3,FALSE),"")</f>
        <v/>
      </c>
      <c r="AV18">
        <f>IF(IFERROR(MATCH($B18,Feiertage!$B$2:$B$49,0)&gt;0,0),1,0)</f>
        <v>0</v>
      </c>
      <c r="AW18" s="22">
        <f>IFERROR(HLOOKUP(DAY(B18),Urlaub!$C$4:$AG$16,MONTH(B18)+1,FALSE),0)</f>
        <v>0</v>
      </c>
      <c r="AX18" s="38">
        <f t="shared" si="10"/>
        <v>0</v>
      </c>
      <c r="AY18" s="7">
        <f t="shared" si="4"/>
        <v>2.0833333333333301E-2</v>
      </c>
      <c r="AZ18" s="5">
        <f t="shared" si="5"/>
        <v>0</v>
      </c>
      <c r="BA18" s="39">
        <f t="shared" si="7"/>
        <v>0</v>
      </c>
      <c r="BB18" s="5">
        <f t="shared" si="6"/>
        <v>0.33333333333333331</v>
      </c>
    </row>
    <row r="19" spans="2:54" ht="18.75" x14ac:dyDescent="0.3">
      <c r="B19" s="43">
        <f t="shared" si="8"/>
        <v>41712</v>
      </c>
      <c r="C19" s="44">
        <f t="shared" si="9"/>
        <v>41712</v>
      </c>
      <c r="D19" s="3"/>
      <c r="E19" s="62"/>
      <c r="F19" s="62"/>
      <c r="G19" s="62"/>
      <c r="H19" s="62"/>
      <c r="I19" s="62" t="str">
        <f t="shared" ca="1" si="0"/>
        <v/>
      </c>
      <c r="J19" s="52">
        <f>IF(AND(Feiertage!$G$2&lt;&gt;"ja",AV19=1),IF(AZ19&gt;0,BB19+AZ19,BB19),IF(AZ19=0,0, IF(I19&lt;&gt;"",AZ19-I19,AZ19)))+AX19</f>
        <v>0</v>
      </c>
      <c r="K19" s="62">
        <f>IF(AV19=0,BB19,IF(Feiertage!$G$2="ja","00:00",BB19))</f>
        <v>0.33333333333333331</v>
      </c>
      <c r="L19" s="52">
        <f ca="1">IF(OR(B19&lt;=TODAY(),J19,AW19="G"),IF(J19&lt;&gt;"",IF(J19-K19=0,"",J19-K19),IF(K19&lt;&gt;"",-K19,"")),"")</f>
        <v>-0.33333333333333331</v>
      </c>
      <c r="M19" s="50" t="str">
        <f>IF(AV19=1,AU19,IF(LOWER(AW19)=LOWER(Urlaub!$W$19),Urlaub!$S$19,
IF(LOWER(AW19)=LOWER(Urlaub!$W$20),Urlaub!$S$20,
IF(LOWER(AW19)=LOWER(Urlaub!$W$21),Urlaub!$S$21,
IF(LOWER(AW19)=LOWER(Urlaub!$W$22),Urlaub!$S$22,
IF(LOWER(AW19)=LOWER(Urlaub!$W$23),Urlaub!$S$23,
IF(LOWER(AW19)=LOWER(Urlaub!$W$24),Urlaub!$S$24,""))))))&amp;IF(AND(EXACT(LOWER(AW19),AW19),AW19&lt;&gt;0)," 1/2",""))</f>
        <v/>
      </c>
      <c r="N19" s="53">
        <f t="shared" si="2"/>
        <v>0</v>
      </c>
      <c r="AU19" t="str">
        <f>IF(AV19=1,VLOOKUP($B19,Feiertage!$B$2:$D$49,3,FALSE),"")</f>
        <v/>
      </c>
      <c r="AV19">
        <f>IF(IFERROR(MATCH($B19,Feiertage!$B$2:$B$49,0)&gt;0,0),1,0)</f>
        <v>0</v>
      </c>
      <c r="AW19" s="22">
        <f>IFERROR(HLOOKUP(DAY(B19),Urlaub!$C$4:$AG$16,MONTH(B19)+1,FALSE),0)</f>
        <v>0</v>
      </c>
      <c r="AX19" s="38">
        <f>IFERROR(IF(OR(AW19=0,AW19="G"),0,IF(EXACT(LOWER(AW19),AW19),0.5*BB19,BB19)),"")</f>
        <v>0</v>
      </c>
      <c r="AY19" s="7">
        <f t="shared" si="4"/>
        <v>2.0833333333333301E-2</v>
      </c>
      <c r="AZ19" s="5">
        <f t="shared" si="5"/>
        <v>0</v>
      </c>
      <c r="BA19" s="39">
        <f t="shared" si="7"/>
        <v>0</v>
      </c>
      <c r="BB19" s="5">
        <f t="shared" si="6"/>
        <v>0.33333333333333331</v>
      </c>
    </row>
    <row r="20" spans="2:54" ht="18.75" x14ac:dyDescent="0.3">
      <c r="B20" s="43">
        <f t="shared" si="8"/>
        <v>41713</v>
      </c>
      <c r="C20" s="44">
        <f t="shared" si="9"/>
        <v>41713</v>
      </c>
      <c r="D20" s="3"/>
      <c r="E20" s="62"/>
      <c r="F20" s="62"/>
      <c r="G20" s="62"/>
      <c r="H20" s="62"/>
      <c r="I20" s="62" t="str">
        <f t="shared" ca="1" si="0"/>
        <v/>
      </c>
      <c r="J20" s="52">
        <f>IF(AND(Feiertage!$G$2&lt;&gt;"ja",AV20=1),IF(AZ20&gt;0,BB20+AZ20,BB20),IF(AZ20=0,0, IF(I20&lt;&gt;"",AZ20-I20,AZ20)))+AX20</f>
        <v>0</v>
      </c>
      <c r="K20" s="62">
        <f>IF(AV20=0,BB20,IF(Feiertage!$G$2="ja","00:00",BB20))</f>
        <v>0.33333333333333331</v>
      </c>
      <c r="L20" s="52">
        <f t="shared" ref="L20:L35" ca="1" si="11">IF(OR(B20&lt;=TODAY(),J20,AW20="G"),IF(J20&lt;&gt;"",IF(J20-K20=0,"",J20-K20),IF(K20&lt;&gt;"",-K20,"")),"")</f>
        <v>-0.33333333333333331</v>
      </c>
      <c r="M20" s="50" t="str">
        <f>IF(AV20=1,AU20,IF(LOWER(AW20)=LOWER(Urlaub!$W$19),Urlaub!$S$19,
IF(LOWER(AW20)=LOWER(Urlaub!$W$20),Urlaub!$S$20,
IF(LOWER(AW20)=LOWER(Urlaub!$W$21),Urlaub!$S$21,
IF(LOWER(AW20)=LOWER(Urlaub!$W$22),Urlaub!$S$22,
IF(LOWER(AW20)=LOWER(Urlaub!$W$23),Urlaub!$S$23,
IF(LOWER(AW20)=LOWER(Urlaub!$W$24),Urlaub!$S$24,""))))))&amp;IF(AND(EXACT(LOWER(AW20),AW20),AW20&lt;&gt;0)," 1/2",""))</f>
        <v/>
      </c>
      <c r="N20" s="53">
        <f t="shared" si="2"/>
        <v>0</v>
      </c>
      <c r="AU20" t="str">
        <f>IF(AV20=1,VLOOKUP($B20,Feiertage!$B$2:$D$49,3,FALSE),"")</f>
        <v/>
      </c>
      <c r="AV20">
        <f>IF(IFERROR(MATCH($B20,Feiertage!$B$2:$B$49,0)&gt;0,0),1,0)</f>
        <v>0</v>
      </c>
      <c r="AW20" s="22">
        <f>IFERROR(HLOOKUP(DAY(B20),Urlaub!$C$4:$AG$16,MONTH(B20)+1,FALSE),0)</f>
        <v>0</v>
      </c>
      <c r="AX20" s="38">
        <f t="shared" si="10"/>
        <v>0</v>
      </c>
      <c r="AY20" s="7">
        <f t="shared" si="4"/>
        <v>2.0833333333333301E-2</v>
      </c>
      <c r="AZ20" s="5">
        <f t="shared" si="5"/>
        <v>0</v>
      </c>
      <c r="BA20" s="39">
        <f t="shared" si="7"/>
        <v>0</v>
      </c>
      <c r="BB20" s="5">
        <f t="shared" si="6"/>
        <v>0.33333333333333331</v>
      </c>
    </row>
    <row r="21" spans="2:54" ht="18.75" x14ac:dyDescent="0.3">
      <c r="B21" s="43">
        <f t="shared" si="8"/>
        <v>41714</v>
      </c>
      <c r="C21" s="44">
        <f t="shared" si="9"/>
        <v>41714</v>
      </c>
      <c r="D21" s="3"/>
      <c r="E21" s="62"/>
      <c r="F21" s="62"/>
      <c r="G21" s="62"/>
      <c r="H21" s="62"/>
      <c r="I21" s="62" t="str">
        <f t="shared" ca="1" si="0"/>
        <v/>
      </c>
      <c r="J21" s="52">
        <f>IF(AND(Feiertage!$G$2&lt;&gt;"ja",AV21=1),IF(AZ21&gt;0,BB21+AZ21,BB21),IF(AZ21=0,0, IF(I21&lt;&gt;"",AZ21-I21,AZ21)))+AX21</f>
        <v>0</v>
      </c>
      <c r="K21" s="62">
        <f>IF(AV21=0,BB21,IF(Feiertage!$G$2="ja","00:00",BB21))</f>
        <v>0</v>
      </c>
      <c r="L21" s="52" t="str">
        <f t="shared" ca="1" si="11"/>
        <v/>
      </c>
      <c r="M21" s="50" t="str">
        <f>IF(AV21=1,AU21,IF(LOWER(AW21)=LOWER(Urlaub!$W$19),Urlaub!$S$19,
IF(LOWER(AW21)=LOWER(Urlaub!$W$20),Urlaub!$S$20,
IF(LOWER(AW21)=LOWER(Urlaub!$W$21),Urlaub!$S$21,
IF(LOWER(AW21)=LOWER(Urlaub!$W$22),Urlaub!$S$22,
IF(LOWER(AW21)=LOWER(Urlaub!$W$23),Urlaub!$S$23,
IF(LOWER(AW21)=LOWER(Urlaub!$W$24),Urlaub!$S$24,""))))))&amp;IF(AND(EXACT(LOWER(AW21),AW21),AW21&lt;&gt;0)," 1/2",""))</f>
        <v/>
      </c>
      <c r="N21" s="53">
        <f t="shared" si="2"/>
        <v>0</v>
      </c>
      <c r="AU21" t="str">
        <f>IF(AV21=1,VLOOKUP($B21,Feiertage!$B$2:$D$49,3,FALSE),"")</f>
        <v/>
      </c>
      <c r="AV21">
        <f>IF(IFERROR(MATCH($B21,Feiertage!$B$2:$B$49,0)&gt;0,0),1,0)</f>
        <v>0</v>
      </c>
      <c r="AW21" s="22">
        <f>IFERROR(HLOOKUP(DAY(B21),Urlaub!$C$4:$AG$16,MONTH(B21)+1,FALSE),0)</f>
        <v>0</v>
      </c>
      <c r="AX21" s="38">
        <f t="shared" si="10"/>
        <v>0</v>
      </c>
      <c r="AY21" s="7">
        <f t="shared" si="4"/>
        <v>2.0833333333333301E-2</v>
      </c>
      <c r="AZ21" s="5">
        <f t="shared" si="5"/>
        <v>0</v>
      </c>
      <c r="BA21" s="39">
        <f t="shared" si="7"/>
        <v>0</v>
      </c>
      <c r="BB21" s="5">
        <f t="shared" si="6"/>
        <v>0</v>
      </c>
    </row>
    <row r="22" spans="2:54" ht="18.75" x14ac:dyDescent="0.3">
      <c r="B22" s="43">
        <f t="shared" si="8"/>
        <v>41715</v>
      </c>
      <c r="C22" s="44">
        <f t="shared" si="9"/>
        <v>41715</v>
      </c>
      <c r="D22" s="3"/>
      <c r="E22" s="62"/>
      <c r="F22" s="62"/>
      <c r="G22" s="62"/>
      <c r="H22" s="62"/>
      <c r="I22" s="62" t="str">
        <f t="shared" ca="1" si="0"/>
        <v/>
      </c>
      <c r="J22" s="52">
        <f>IF(AND(Feiertage!$G$2&lt;&gt;"ja",AV22=1),IF(AZ22&gt;0,BB22+AZ22,BB22),IF(AZ22=0,0, IF(I22&lt;&gt;"",AZ22-I22,AZ22)))+AX22</f>
        <v>0</v>
      </c>
      <c r="K22" s="62">
        <f>IF(AV22=0,BB22,IF(Feiertage!$G$2="ja","00:00",BB22))</f>
        <v>0</v>
      </c>
      <c r="L22" s="52" t="str">
        <f t="shared" ca="1" si="11"/>
        <v/>
      </c>
      <c r="M22" s="50" t="str">
        <f>IF(AV22=1,AU22,IF(LOWER(AW22)=LOWER(Urlaub!$W$19),Urlaub!$S$19,
IF(LOWER(AW22)=LOWER(Urlaub!$W$20),Urlaub!$S$20,
IF(LOWER(AW22)=LOWER(Urlaub!$W$21),Urlaub!$S$21,
IF(LOWER(AW22)=LOWER(Urlaub!$W$22),Urlaub!$S$22,
IF(LOWER(AW22)=LOWER(Urlaub!$W$23),Urlaub!$S$23,
IF(LOWER(AW22)=LOWER(Urlaub!$W$24),Urlaub!$S$24,""))))))&amp;IF(AND(EXACT(LOWER(AW22),AW22),AW22&lt;&gt;0)," 1/2",""))</f>
        <v/>
      </c>
      <c r="N22" s="53">
        <f t="shared" si="2"/>
        <v>0</v>
      </c>
      <c r="AU22" t="str">
        <f>IF(AV22=1,VLOOKUP($B22,Feiertage!$B$2:$D$49,3,FALSE),"")</f>
        <v/>
      </c>
      <c r="AV22">
        <f>IF(IFERROR(MATCH($B22,Feiertage!$B$2:$B$49,0)&gt;0,0),1,0)</f>
        <v>0</v>
      </c>
      <c r="AW22" s="22">
        <f>IFERROR(HLOOKUP(DAY(B22),Urlaub!$C$4:$AG$16,MONTH(B22)+1,FALSE),0)</f>
        <v>0</v>
      </c>
      <c r="AX22" s="38">
        <f t="shared" si="10"/>
        <v>0</v>
      </c>
      <c r="AY22" s="7">
        <f t="shared" si="4"/>
        <v>2.0833333333333301E-2</v>
      </c>
      <c r="AZ22" s="5">
        <f t="shared" si="5"/>
        <v>0</v>
      </c>
      <c r="BA22" s="39">
        <f t="shared" si="7"/>
        <v>0</v>
      </c>
      <c r="BB22" s="5">
        <f t="shared" si="6"/>
        <v>0</v>
      </c>
    </row>
    <row r="23" spans="2:54" ht="18.75" x14ac:dyDescent="0.3">
      <c r="B23" s="43">
        <f t="shared" si="8"/>
        <v>41716</v>
      </c>
      <c r="C23" s="44">
        <f t="shared" si="9"/>
        <v>41716</v>
      </c>
      <c r="D23" s="3"/>
      <c r="E23" s="62"/>
      <c r="F23" s="62"/>
      <c r="G23" s="62"/>
      <c r="H23" s="62"/>
      <c r="I23" s="62" t="str">
        <f t="shared" ca="1" si="0"/>
        <v/>
      </c>
      <c r="J23" s="52">
        <f>IF(AND(Feiertage!$G$2&lt;&gt;"ja",AV23=1),IF(AZ23&gt;0,BB23+AZ23,BB23),IF(AZ23=0,0, IF(I23&lt;&gt;"",AZ23-I23,AZ23)))+AX23</f>
        <v>0</v>
      </c>
      <c r="K23" s="62">
        <f>IF(AV23=0,BB23,IF(Feiertage!$G$2="ja","00:00",BB23))</f>
        <v>0.33333333333333331</v>
      </c>
      <c r="L23" s="52">
        <f t="shared" ca="1" si="11"/>
        <v>-0.33333333333333331</v>
      </c>
      <c r="M23" s="50" t="str">
        <f>IF(AV23=1,AU23,IF(LOWER(AW23)=LOWER(Urlaub!$W$19),Urlaub!$S$19,
IF(LOWER(AW23)=LOWER(Urlaub!$W$20),Urlaub!$S$20,
IF(LOWER(AW23)=LOWER(Urlaub!$W$21),Urlaub!$S$21,
IF(LOWER(AW23)=LOWER(Urlaub!$W$22),Urlaub!$S$22,
IF(LOWER(AW23)=LOWER(Urlaub!$W$23),Urlaub!$S$23,
IF(LOWER(AW23)=LOWER(Urlaub!$W$24),Urlaub!$S$24,""))))))&amp;IF(AND(EXACT(LOWER(AW23),AW23),AW23&lt;&gt;0)," 1/2",""))</f>
        <v/>
      </c>
      <c r="N23" s="53">
        <f t="shared" si="2"/>
        <v>0</v>
      </c>
      <c r="AU23" t="str">
        <f>IF(AV23=1,VLOOKUP($B23,Feiertage!$B$2:$D$49,3,FALSE),"")</f>
        <v/>
      </c>
      <c r="AV23">
        <f>IF(IFERROR(MATCH($B23,Feiertage!$B$2:$B$49,0)&gt;0,0),1,0)</f>
        <v>0</v>
      </c>
      <c r="AW23" s="22">
        <f>IFERROR(HLOOKUP(DAY(B23),Urlaub!$C$4:$AG$16,MONTH(B23)+1,FALSE),0)</f>
        <v>0</v>
      </c>
      <c r="AX23" s="38">
        <f>IFERROR(IF(OR(AW23=0,AW23="G"),0,IF(EXACT(LOWER(AW23),AW23),0.5*BB23,BB23)),"")</f>
        <v>0</v>
      </c>
      <c r="AY23" s="7">
        <f t="shared" si="4"/>
        <v>2.0833333333333332E-2</v>
      </c>
      <c r="AZ23" s="5">
        <f t="shared" si="5"/>
        <v>0</v>
      </c>
      <c r="BA23" s="39">
        <f t="shared" si="7"/>
        <v>0</v>
      </c>
      <c r="BB23" s="5">
        <f t="shared" si="6"/>
        <v>0.33333333333333331</v>
      </c>
    </row>
    <row r="24" spans="2:54" ht="18.75" x14ac:dyDescent="0.3">
      <c r="B24" s="43">
        <f t="shared" si="8"/>
        <v>41717</v>
      </c>
      <c r="C24" s="44">
        <f t="shared" si="9"/>
        <v>41717</v>
      </c>
      <c r="D24" s="3"/>
      <c r="E24" s="62"/>
      <c r="F24" s="62"/>
      <c r="G24" s="62"/>
      <c r="H24" s="62"/>
      <c r="I24" s="62" t="str">
        <f t="shared" ca="1" si="0"/>
        <v/>
      </c>
      <c r="J24" s="52">
        <f>IF(AND(Feiertage!$G$2&lt;&gt;"ja",AV24=1),IF(AZ24&gt;0,BB24+AZ24,BB24),IF(AZ24=0,0, IF(I24&lt;&gt;"",AZ24-I24,AZ24)))+AX24</f>
        <v>0</v>
      </c>
      <c r="K24" s="62">
        <f>IF(AV24=0,BB24,IF(Feiertage!$G$2="ja","00:00",BB24))</f>
        <v>0.33333333333333331</v>
      </c>
      <c r="L24" s="52">
        <f t="shared" ca="1" si="11"/>
        <v>-0.33333333333333331</v>
      </c>
      <c r="M24" s="50" t="str">
        <f>IF(AV24=1,AU24,IF(LOWER(AW24)=LOWER(Urlaub!$W$19),Urlaub!$S$19,
IF(LOWER(AW24)=LOWER(Urlaub!$W$20),Urlaub!$S$20,
IF(LOWER(AW24)=LOWER(Urlaub!$W$21),Urlaub!$S$21,
IF(LOWER(AW24)=LOWER(Urlaub!$W$22),Urlaub!$S$22,
IF(LOWER(AW24)=LOWER(Urlaub!$W$23),Urlaub!$S$23,
IF(LOWER(AW24)=LOWER(Urlaub!$W$24),Urlaub!$S$24,""))))))&amp;IF(AND(EXACT(LOWER(AW24),AW24),AW24&lt;&gt;0)," 1/2",""))</f>
        <v/>
      </c>
      <c r="N24" s="53">
        <f t="shared" si="2"/>
        <v>0</v>
      </c>
      <c r="AU24" t="str">
        <f>IF(AV24=1,VLOOKUP($B24,Feiertage!$B$2:$D$49,3,FALSE),"")</f>
        <v/>
      </c>
      <c r="AV24">
        <f>IF(IFERROR(MATCH($B24,Feiertage!$B$2:$B$49,0)&gt;0,0),1,0)</f>
        <v>0</v>
      </c>
      <c r="AW24" s="22">
        <f>IFERROR(HLOOKUP(DAY(B24),Urlaub!$C$4:$AG$16,MONTH(B24)+1,FALSE),0)</f>
        <v>0</v>
      </c>
      <c r="AX24" s="38">
        <f t="shared" si="10"/>
        <v>0</v>
      </c>
      <c r="AY24" s="7">
        <f t="shared" si="4"/>
        <v>2.0833333333333332E-2</v>
      </c>
      <c r="AZ24" s="5">
        <f t="shared" si="5"/>
        <v>0</v>
      </c>
      <c r="BA24" s="39">
        <f t="shared" si="7"/>
        <v>0</v>
      </c>
      <c r="BB24" s="5">
        <f t="shared" si="6"/>
        <v>0.33333333333333331</v>
      </c>
    </row>
    <row r="25" spans="2:54" ht="18.75" x14ac:dyDescent="0.3">
      <c r="B25" s="43">
        <f t="shared" si="8"/>
        <v>41718</v>
      </c>
      <c r="C25" s="44">
        <f t="shared" si="9"/>
        <v>41718</v>
      </c>
      <c r="D25" s="3"/>
      <c r="E25" s="62"/>
      <c r="F25" s="62"/>
      <c r="G25" s="62"/>
      <c r="H25" s="62"/>
      <c r="I25" s="62" t="str">
        <f t="shared" ca="1" si="0"/>
        <v/>
      </c>
      <c r="J25" s="52">
        <f>IF(AND(Feiertage!$G$2&lt;&gt;"ja",AV25=1),IF(AZ25&gt;0,BB25+AZ25,BB25),IF(AZ25=0,0, IF(I25&lt;&gt;"",AZ25-I25,AZ25)))+AX25</f>
        <v>0</v>
      </c>
      <c r="K25" s="62">
        <f>IF(AV25=0,BB25,IF(Feiertage!$G$2="ja","00:00",BB25))</f>
        <v>0.33333333333333331</v>
      </c>
      <c r="L25" s="52">
        <f t="shared" ca="1" si="11"/>
        <v>-0.33333333333333331</v>
      </c>
      <c r="M25" s="50" t="str">
        <f>IF(AV25=1,AU25,IF(LOWER(AW25)=LOWER(Urlaub!$W$19),Urlaub!$S$19,
IF(LOWER(AW25)=LOWER(Urlaub!$W$20),Urlaub!$S$20,
IF(LOWER(AW25)=LOWER(Urlaub!$W$21),Urlaub!$S$21,
IF(LOWER(AW25)=LOWER(Urlaub!$W$22),Urlaub!$S$22,
IF(LOWER(AW25)=LOWER(Urlaub!$W$23),Urlaub!$S$23,
IF(LOWER(AW25)=LOWER(Urlaub!$W$24),Urlaub!$S$24,""))))))&amp;IF(AND(EXACT(LOWER(AW25),AW25),AW25&lt;&gt;0)," 1/2",""))</f>
        <v/>
      </c>
      <c r="N25" s="53">
        <f t="shared" si="2"/>
        <v>0</v>
      </c>
      <c r="AU25" t="str">
        <f>IF(AV25=1,VLOOKUP($B25,Feiertage!$B$2:$D$49,3,FALSE),"")</f>
        <v/>
      </c>
      <c r="AV25">
        <f>IF(IFERROR(MATCH($B25,Feiertage!$B$2:$B$49,0)&gt;0,0),1,0)</f>
        <v>0</v>
      </c>
      <c r="AW25" s="22">
        <f>IFERROR(HLOOKUP(DAY(B25),Urlaub!$C$4:$AG$16,MONTH(B25)+1,FALSE),0)</f>
        <v>0</v>
      </c>
      <c r="AX25" s="38">
        <f t="shared" si="10"/>
        <v>0</v>
      </c>
      <c r="AY25" s="7">
        <f t="shared" si="4"/>
        <v>2.0833333333333301E-2</v>
      </c>
      <c r="AZ25" s="5">
        <f t="shared" si="5"/>
        <v>0</v>
      </c>
      <c r="BA25" s="39">
        <f t="shared" si="7"/>
        <v>0</v>
      </c>
      <c r="BB25" s="5">
        <f t="shared" si="6"/>
        <v>0.33333333333333331</v>
      </c>
    </row>
    <row r="26" spans="2:54" ht="18.75" x14ac:dyDescent="0.3">
      <c r="B26" s="43">
        <f t="shared" si="8"/>
        <v>41719</v>
      </c>
      <c r="C26" s="44">
        <f t="shared" si="9"/>
        <v>41719</v>
      </c>
      <c r="D26" s="3"/>
      <c r="E26" s="62"/>
      <c r="F26" s="62"/>
      <c r="G26" s="62"/>
      <c r="H26" s="62"/>
      <c r="I26" s="62" t="str">
        <f t="shared" ca="1" si="0"/>
        <v/>
      </c>
      <c r="J26" s="52">
        <f>IF(AND(Feiertage!$G$2&lt;&gt;"ja",AV26=1),IF(AZ26&gt;0,BB26+AZ26,BB26),IF(AZ26=0,0, IF(I26&lt;&gt;"",AZ26-I26,AZ26)))+AX26</f>
        <v>0</v>
      </c>
      <c r="K26" s="62">
        <f>IF(AV26=0,BB26,IF(Feiertage!$G$2="ja","00:00",BB26))</f>
        <v>0.33333333333333331</v>
      </c>
      <c r="L26" s="52">
        <f t="shared" ca="1" si="11"/>
        <v>-0.33333333333333331</v>
      </c>
      <c r="M26" s="50" t="str">
        <f>IF(AV26=1,AU26,IF(LOWER(AW26)=LOWER(Urlaub!$W$19),Urlaub!$S$19,
IF(LOWER(AW26)=LOWER(Urlaub!$W$20),Urlaub!$S$20,
IF(LOWER(AW26)=LOWER(Urlaub!$W$21),Urlaub!$S$21,
IF(LOWER(AW26)=LOWER(Urlaub!$W$22),Urlaub!$S$22,
IF(LOWER(AW26)=LOWER(Urlaub!$W$23),Urlaub!$S$23,
IF(LOWER(AW26)=LOWER(Urlaub!$W$24),Urlaub!$S$24,""))))))&amp;IF(AND(EXACT(LOWER(AW26),AW26),AW26&lt;&gt;0)," 1/2",""))</f>
        <v/>
      </c>
      <c r="N26" s="53">
        <f t="shared" si="2"/>
        <v>0</v>
      </c>
      <c r="AU26" t="str">
        <f>IF(AV26=1,VLOOKUP($B26,Feiertage!$B$2:$D$49,3,FALSE),"")</f>
        <v/>
      </c>
      <c r="AV26">
        <f>IF(IFERROR(MATCH($B26,Feiertage!$B$2:$B$49,0)&gt;0,0),1,0)</f>
        <v>0</v>
      </c>
      <c r="AW26" s="22">
        <f>IFERROR(HLOOKUP(DAY(B26),Urlaub!$C$4:$AG$16,MONTH(B26)+1,FALSE),0)</f>
        <v>0</v>
      </c>
      <c r="AX26" s="38">
        <f t="shared" si="10"/>
        <v>0</v>
      </c>
      <c r="AY26" s="7">
        <f t="shared" si="4"/>
        <v>2.0833333333333301E-2</v>
      </c>
      <c r="AZ26" s="5">
        <f t="shared" si="5"/>
        <v>0</v>
      </c>
      <c r="BA26" s="39">
        <f t="shared" si="7"/>
        <v>0</v>
      </c>
      <c r="BB26" s="5">
        <f t="shared" si="6"/>
        <v>0.33333333333333331</v>
      </c>
    </row>
    <row r="27" spans="2:54" ht="18.75" x14ac:dyDescent="0.3">
      <c r="B27" s="43">
        <f t="shared" si="8"/>
        <v>41720</v>
      </c>
      <c r="C27" s="44">
        <f t="shared" si="9"/>
        <v>41720</v>
      </c>
      <c r="D27" s="3"/>
      <c r="E27" s="62"/>
      <c r="F27" s="62"/>
      <c r="G27" s="62"/>
      <c r="H27" s="62"/>
      <c r="I27" s="62" t="str">
        <f t="shared" ca="1" si="0"/>
        <v/>
      </c>
      <c r="J27" s="52">
        <f>IF(AND(Feiertage!$G$2&lt;&gt;"ja",AV27=1),IF(AZ27&gt;0,BB27+AZ27,BB27),IF(AZ27=0,0, IF(I27&lt;&gt;"",AZ27-I27,AZ27)))+AX27</f>
        <v>0</v>
      </c>
      <c r="K27" s="62">
        <f>IF(AV27=0,BB27,IF(Feiertage!$G$2="ja","00:00",BB27))</f>
        <v>0.33333333333333331</v>
      </c>
      <c r="L27" s="52">
        <f t="shared" ca="1" si="11"/>
        <v>-0.33333333333333331</v>
      </c>
      <c r="M27" s="50" t="str">
        <f>IF(AV27=1,AU27,IF(LOWER(AW27)=LOWER(Urlaub!$W$19),Urlaub!$S$19,
IF(LOWER(AW27)=LOWER(Urlaub!$W$20),Urlaub!$S$20,
IF(LOWER(AW27)=LOWER(Urlaub!$W$21),Urlaub!$S$21,
IF(LOWER(AW27)=LOWER(Urlaub!$W$22),Urlaub!$S$22,
IF(LOWER(AW27)=LOWER(Urlaub!$W$23),Urlaub!$S$23,
IF(LOWER(AW27)=LOWER(Urlaub!$W$24),Urlaub!$S$24,""))))))&amp;IF(AND(EXACT(LOWER(AW27),AW27),AW27&lt;&gt;0)," 1/2",""))</f>
        <v/>
      </c>
      <c r="N27" s="53">
        <f t="shared" si="2"/>
        <v>0</v>
      </c>
      <c r="AU27" t="str">
        <f>IF(AV27=1,VLOOKUP($B27,Feiertage!$B$2:$D$49,3,FALSE),"")</f>
        <v/>
      </c>
      <c r="AV27">
        <f>IF(IFERROR(MATCH($B27,Feiertage!$B$2:$B$49,0)&gt;0,0),1,0)</f>
        <v>0</v>
      </c>
      <c r="AW27" s="22">
        <f>IFERROR(HLOOKUP(DAY(B27),Urlaub!$C$4:$AG$16,MONTH(B27)+1,FALSE),0)</f>
        <v>0</v>
      </c>
      <c r="AX27" s="38">
        <f t="shared" si="10"/>
        <v>0</v>
      </c>
      <c r="AY27" s="7">
        <f t="shared" si="4"/>
        <v>2.0833333333333301E-2</v>
      </c>
      <c r="AZ27" s="5">
        <f t="shared" si="5"/>
        <v>0</v>
      </c>
      <c r="BA27" s="39">
        <f t="shared" si="7"/>
        <v>0</v>
      </c>
      <c r="BB27" s="5">
        <f t="shared" si="6"/>
        <v>0.33333333333333331</v>
      </c>
    </row>
    <row r="28" spans="2:54" ht="18.75" x14ac:dyDescent="0.3">
      <c r="B28" s="43">
        <f t="shared" si="8"/>
        <v>41721</v>
      </c>
      <c r="C28" s="44">
        <f t="shared" si="9"/>
        <v>41721</v>
      </c>
      <c r="D28" s="3"/>
      <c r="E28" s="62"/>
      <c r="F28" s="62"/>
      <c r="G28" s="62"/>
      <c r="H28" s="62"/>
      <c r="I28" s="62" t="str">
        <f t="shared" ca="1" si="0"/>
        <v/>
      </c>
      <c r="J28" s="52">
        <f>IF(AND(Feiertage!$G$2&lt;&gt;"ja",AV28=1),IF(AZ28&gt;0,BB28+AZ28,BB28),IF(AZ28=0,0, IF(I28&lt;&gt;"",AZ28-I28,AZ28)))+AX28</f>
        <v>0</v>
      </c>
      <c r="K28" s="62">
        <f>IF(AV28=0,BB28,IF(Feiertage!$G$2="ja","00:00",BB28))</f>
        <v>0</v>
      </c>
      <c r="L28" s="52" t="str">
        <f t="shared" ca="1" si="11"/>
        <v/>
      </c>
      <c r="M28" s="50" t="str">
        <f>IF(AV28=1,AU28,IF(LOWER(AW28)=LOWER(Urlaub!$W$19),Urlaub!$S$19,
IF(LOWER(AW28)=LOWER(Urlaub!$W$20),Urlaub!$S$20,
IF(LOWER(AW28)=LOWER(Urlaub!$W$21),Urlaub!$S$21,
IF(LOWER(AW28)=LOWER(Urlaub!$W$22),Urlaub!$S$22,
IF(LOWER(AW28)=LOWER(Urlaub!$W$23),Urlaub!$S$23,
IF(LOWER(AW28)=LOWER(Urlaub!$W$24),Urlaub!$S$24,""))))))&amp;IF(AND(EXACT(LOWER(AW28),AW28),AW28&lt;&gt;0)," 1/2",""))</f>
        <v/>
      </c>
      <c r="N28" s="53">
        <f t="shared" si="2"/>
        <v>0</v>
      </c>
      <c r="AU28" t="str">
        <f>IF(AV28=1,VLOOKUP($B28,Feiertage!$B$2:$D$49,3,FALSE),"")</f>
        <v/>
      </c>
      <c r="AV28">
        <f>IF(IFERROR(MATCH($B28,Feiertage!$B$2:$B$49,0)&gt;0,0),1,0)</f>
        <v>0</v>
      </c>
      <c r="AW28" s="22">
        <f>IFERROR(HLOOKUP(DAY(B28),Urlaub!$C$4:$AG$16,MONTH(B28)+1,FALSE),0)</f>
        <v>0</v>
      </c>
      <c r="AX28" s="38">
        <f t="shared" si="10"/>
        <v>0</v>
      </c>
      <c r="AY28" s="7">
        <f t="shared" si="4"/>
        <v>2.0833333333333301E-2</v>
      </c>
      <c r="AZ28" s="5">
        <f t="shared" si="5"/>
        <v>0</v>
      </c>
      <c r="BA28" s="39">
        <f t="shared" si="7"/>
        <v>0</v>
      </c>
      <c r="BB28" s="5">
        <f t="shared" si="6"/>
        <v>0</v>
      </c>
    </row>
    <row r="29" spans="2:54" ht="18.75" x14ac:dyDescent="0.3">
      <c r="B29" s="43">
        <f t="shared" si="8"/>
        <v>41722</v>
      </c>
      <c r="C29" s="44">
        <f t="shared" si="9"/>
        <v>41722</v>
      </c>
      <c r="D29" s="3"/>
      <c r="E29" s="62"/>
      <c r="F29" s="62"/>
      <c r="G29" s="62"/>
      <c r="H29" s="62"/>
      <c r="I29" s="62" t="str">
        <f t="shared" ca="1" si="0"/>
        <v/>
      </c>
      <c r="J29" s="52">
        <f>IF(AND(Feiertage!$G$2&lt;&gt;"ja",AV29=1),IF(AZ29&gt;0,BB29+AZ29,BB29),IF(AZ29=0,0, IF(I29&lt;&gt;"",AZ29-I29,AZ29)))+AX29</f>
        <v>0</v>
      </c>
      <c r="K29" s="62">
        <f>IF(AV29=0,BB29,IF(Feiertage!$G$2="ja","00:00",BB29))</f>
        <v>0</v>
      </c>
      <c r="L29" s="52" t="str">
        <f t="shared" ca="1" si="11"/>
        <v/>
      </c>
      <c r="M29" s="50" t="str">
        <f>IF(AV29=1,AU29,IF(LOWER(AW29)=LOWER(Urlaub!$W$19),Urlaub!$S$19,
IF(LOWER(AW29)=LOWER(Urlaub!$W$20),Urlaub!$S$20,
IF(LOWER(AW29)=LOWER(Urlaub!$W$21),Urlaub!$S$21,
IF(LOWER(AW29)=LOWER(Urlaub!$W$22),Urlaub!$S$22,
IF(LOWER(AW29)=LOWER(Urlaub!$W$23),Urlaub!$S$23,
IF(LOWER(AW29)=LOWER(Urlaub!$W$24),Urlaub!$S$24,""))))))&amp;IF(AND(EXACT(LOWER(AW29),AW29),AW29&lt;&gt;0)," 1/2",""))</f>
        <v/>
      </c>
      <c r="N29" s="53">
        <f t="shared" si="2"/>
        <v>0</v>
      </c>
      <c r="AU29" t="str">
        <f>IF(AV29=1,VLOOKUP($B29,Feiertage!$B$2:$D$49,3,FALSE),"")</f>
        <v/>
      </c>
      <c r="AV29">
        <f>IF(IFERROR(MATCH($B29,Feiertage!$B$2:$B$49,0)&gt;0,0),1,0)</f>
        <v>0</v>
      </c>
      <c r="AW29" s="22">
        <f>IFERROR(HLOOKUP(DAY(B29),Urlaub!$C$4:$AG$16,MONTH(B29)+1,FALSE),0)</f>
        <v>0</v>
      </c>
      <c r="AX29" s="38">
        <f t="shared" si="10"/>
        <v>0</v>
      </c>
      <c r="AY29" s="7">
        <f t="shared" si="4"/>
        <v>2.0833333333333301E-2</v>
      </c>
      <c r="AZ29" s="5">
        <f t="shared" si="5"/>
        <v>0</v>
      </c>
      <c r="BA29" s="39">
        <f t="shared" si="7"/>
        <v>0</v>
      </c>
      <c r="BB29" s="5">
        <f t="shared" si="6"/>
        <v>0</v>
      </c>
    </row>
    <row r="30" spans="2:54" ht="18.75" x14ac:dyDescent="0.3">
      <c r="B30" s="43">
        <f t="shared" si="8"/>
        <v>41723</v>
      </c>
      <c r="C30" s="44">
        <f t="shared" si="9"/>
        <v>41723</v>
      </c>
      <c r="D30" s="3"/>
      <c r="E30" s="62"/>
      <c r="F30" s="62"/>
      <c r="G30" s="62"/>
      <c r="H30" s="62"/>
      <c r="I30" s="62" t="str">
        <f t="shared" ca="1" si="0"/>
        <v/>
      </c>
      <c r="J30" s="52">
        <f>IF(AND(Feiertage!$G$2&lt;&gt;"ja",AV30=1),IF(AZ30&gt;0,BB30+AZ30,BB30),IF(AZ30=0,0, IF(I30&lt;&gt;"",AZ30-I30,AZ30)))+AX30</f>
        <v>0</v>
      </c>
      <c r="K30" s="62">
        <f>IF(AV30=0,BB30,IF(Feiertage!$G$2="ja","00:00",BB30))</f>
        <v>0.33333333333333331</v>
      </c>
      <c r="L30" s="52">
        <f t="shared" ca="1" si="11"/>
        <v>-0.33333333333333331</v>
      </c>
      <c r="M30" s="50" t="str">
        <f>IF(AV30=1,AU30,IF(LOWER(AW30)=LOWER(Urlaub!$W$19),Urlaub!$S$19,
IF(LOWER(AW30)=LOWER(Urlaub!$W$20),Urlaub!$S$20,
IF(LOWER(AW30)=LOWER(Urlaub!$W$21),Urlaub!$S$21,
IF(LOWER(AW30)=LOWER(Urlaub!$W$22),Urlaub!$S$22,
IF(LOWER(AW30)=LOWER(Urlaub!$W$23),Urlaub!$S$23,
IF(LOWER(AW30)=LOWER(Urlaub!$W$24),Urlaub!$S$24,""))))))&amp;IF(AND(EXACT(LOWER(AW30),AW30),AW30&lt;&gt;0)," 1/2",""))</f>
        <v/>
      </c>
      <c r="N30" s="53">
        <f t="shared" si="2"/>
        <v>0</v>
      </c>
      <c r="AU30" t="str">
        <f>IF(AV30=1,VLOOKUP($B30,Feiertage!$B$2:$D$49,3,FALSE),"")</f>
        <v/>
      </c>
      <c r="AV30">
        <f>IF(IFERROR(MATCH($B30,Feiertage!$B$2:$B$49,0)&gt;0,0),1,0)</f>
        <v>0</v>
      </c>
      <c r="AW30" s="22">
        <f>IFERROR(HLOOKUP(DAY(B30),Urlaub!$C$4:$AG$16,MONTH(B30)+1,FALSE),0)</f>
        <v>0</v>
      </c>
      <c r="AX30" s="38">
        <f t="shared" si="10"/>
        <v>0</v>
      </c>
      <c r="AY30" s="7">
        <f t="shared" si="4"/>
        <v>2.0833333333333332E-2</v>
      </c>
      <c r="AZ30" s="5">
        <f t="shared" si="5"/>
        <v>0</v>
      </c>
      <c r="BA30" s="39">
        <f t="shared" si="7"/>
        <v>0</v>
      </c>
      <c r="BB30" s="5">
        <f t="shared" si="6"/>
        <v>0.33333333333333331</v>
      </c>
    </row>
    <row r="31" spans="2:54" ht="18.75" x14ac:dyDescent="0.3">
      <c r="B31" s="43">
        <f t="shared" si="8"/>
        <v>41724</v>
      </c>
      <c r="C31" s="44">
        <f t="shared" si="9"/>
        <v>41724</v>
      </c>
      <c r="D31" s="3"/>
      <c r="E31" s="62"/>
      <c r="F31" s="62"/>
      <c r="G31" s="62"/>
      <c r="H31" s="62"/>
      <c r="I31" s="62" t="str">
        <f t="shared" ca="1" si="0"/>
        <v/>
      </c>
      <c r="J31" s="52">
        <f>IF(AND(Feiertage!$G$2&lt;&gt;"ja",AV31=1),IF(AZ31&gt;0,BB31+AZ31,BB31),IF(AZ31=0,0, IF(I31&lt;&gt;"",AZ31-I31,AZ31)))+AX31</f>
        <v>0</v>
      </c>
      <c r="K31" s="62">
        <f>IF(AV31=0,BB31,IF(Feiertage!$G$2="ja","00:00",BB31))</f>
        <v>0.33333333333333331</v>
      </c>
      <c r="L31" s="52">
        <f t="shared" ca="1" si="11"/>
        <v>-0.33333333333333331</v>
      </c>
      <c r="M31" s="50" t="str">
        <f>IF(AV31=1,AU31,IF(LOWER(AW31)=LOWER(Urlaub!$W$19),Urlaub!$S$19,
IF(LOWER(AW31)=LOWER(Urlaub!$W$20),Urlaub!$S$20,
IF(LOWER(AW31)=LOWER(Urlaub!$W$21),Urlaub!$S$21,
IF(LOWER(AW31)=LOWER(Urlaub!$W$22),Urlaub!$S$22,
IF(LOWER(AW31)=LOWER(Urlaub!$W$23),Urlaub!$S$23,
IF(LOWER(AW31)=LOWER(Urlaub!$W$24),Urlaub!$S$24,""))))))&amp;IF(AND(EXACT(LOWER(AW31),AW31),AW31&lt;&gt;0)," 1/2",""))</f>
        <v/>
      </c>
      <c r="N31" s="53">
        <f t="shared" si="2"/>
        <v>0</v>
      </c>
      <c r="AU31" t="str">
        <f>IF(AV31=1,VLOOKUP($B31,Feiertage!$B$2:$D$49,3,FALSE),"")</f>
        <v/>
      </c>
      <c r="AV31">
        <f>IF(IFERROR(MATCH($B31,Feiertage!$B$2:$B$49,0)&gt;0,0),1,0)</f>
        <v>0</v>
      </c>
      <c r="AW31" s="22">
        <f>IFERROR(HLOOKUP(DAY(B31),Urlaub!$C$4:$AG$16,MONTH(B31)+1,FALSE),0)</f>
        <v>0</v>
      </c>
      <c r="AX31" s="38">
        <f t="shared" si="10"/>
        <v>0</v>
      </c>
      <c r="AY31" s="7">
        <f t="shared" si="4"/>
        <v>2.0833333333333332E-2</v>
      </c>
      <c r="AZ31" s="5">
        <f t="shared" si="5"/>
        <v>0</v>
      </c>
      <c r="BA31" s="39">
        <f t="shared" si="7"/>
        <v>0</v>
      </c>
      <c r="BB31" s="5">
        <f t="shared" si="6"/>
        <v>0.33333333333333331</v>
      </c>
    </row>
    <row r="32" spans="2:54" ht="18.75" x14ac:dyDescent="0.3">
      <c r="B32" s="43">
        <f t="shared" si="8"/>
        <v>41725</v>
      </c>
      <c r="C32" s="44">
        <f t="shared" si="9"/>
        <v>41725</v>
      </c>
      <c r="D32" s="3"/>
      <c r="E32" s="62"/>
      <c r="F32" s="62"/>
      <c r="G32" s="62"/>
      <c r="H32" s="62"/>
      <c r="I32" s="62" t="str">
        <f t="shared" ca="1" si="0"/>
        <v/>
      </c>
      <c r="J32" s="52">
        <f>IF(AND(Feiertage!$G$2&lt;&gt;"ja",AV32=1),IF(AZ32&gt;0,BB32+AZ32,BB32),IF(AZ32=0,0, IF(I32&lt;&gt;"",AZ32-I32,AZ32)))+AX32</f>
        <v>0</v>
      </c>
      <c r="K32" s="62">
        <f>IF(AV32=0,BB32,IF(Feiertage!$G$2="ja","00:00",BB32))</f>
        <v>0.33333333333333331</v>
      </c>
      <c r="L32" s="52">
        <f t="shared" ca="1" si="11"/>
        <v>-0.33333333333333331</v>
      </c>
      <c r="M32" s="50" t="str">
        <f>IF(AV32=1,AU32,IF(LOWER(AW32)=LOWER(Urlaub!$W$19),Urlaub!$S$19,
IF(LOWER(AW32)=LOWER(Urlaub!$W$20),Urlaub!$S$20,
IF(LOWER(AW32)=LOWER(Urlaub!$W$21),Urlaub!$S$21,
IF(LOWER(AW32)=LOWER(Urlaub!$W$22),Urlaub!$S$22,
IF(LOWER(AW32)=LOWER(Urlaub!$W$23),Urlaub!$S$23,
IF(LOWER(AW32)=LOWER(Urlaub!$W$24),Urlaub!$S$24,""))))))&amp;IF(AND(EXACT(LOWER(AW32),AW32),AW32&lt;&gt;0)," 1/2",""))</f>
        <v/>
      </c>
      <c r="N32" s="53">
        <f t="shared" si="2"/>
        <v>0</v>
      </c>
      <c r="AU32" t="str">
        <f>IF(AV32=1,VLOOKUP($B32,Feiertage!$B$2:$D$49,3,FALSE),"")</f>
        <v/>
      </c>
      <c r="AV32">
        <f>IF(IFERROR(MATCH($B32,Feiertage!$B$2:$B$49,0)&gt;0,0),1,0)</f>
        <v>0</v>
      </c>
      <c r="AW32" s="22">
        <f>IFERROR(HLOOKUP(DAY(B32),Urlaub!$C$4:$AG$16,MONTH(B32)+1,FALSE),0)</f>
        <v>0</v>
      </c>
      <c r="AX32" s="38">
        <f t="shared" si="10"/>
        <v>0</v>
      </c>
      <c r="AY32" s="7">
        <f t="shared" si="4"/>
        <v>2.0833333333333301E-2</v>
      </c>
      <c r="AZ32" s="5">
        <f t="shared" si="5"/>
        <v>0</v>
      </c>
      <c r="BA32" s="39">
        <f t="shared" si="7"/>
        <v>0</v>
      </c>
      <c r="BB32" s="5">
        <f t="shared" si="6"/>
        <v>0.33333333333333331</v>
      </c>
    </row>
    <row r="33" spans="2:54" ht="18.75" x14ac:dyDescent="0.3">
      <c r="B33" s="43">
        <f>IF(B32&lt;&gt;"",IF(MONTH($B$1)&lt;MONTH(B32+1),"",B32+1),"")</f>
        <v>41726</v>
      </c>
      <c r="C33" s="44">
        <f t="shared" si="9"/>
        <v>41726</v>
      </c>
      <c r="D33" s="3"/>
      <c r="E33" s="62"/>
      <c r="F33" s="62"/>
      <c r="G33" s="62"/>
      <c r="H33" s="62"/>
      <c r="I33" s="62" t="str">
        <f t="shared" ca="1" si="0"/>
        <v/>
      </c>
      <c r="J33" s="52">
        <f>IF(B33&lt;&gt;"",IF(AND(Feiertage!$G$2&lt;&gt;"ja",AV33=1),IF(AZ33&gt;0,BB33+AZ33,BB33),IF(AZ33=0,0, IF(I33&lt;&gt;"",AZ33-I33,AZ33)))+AX33,"")</f>
        <v>0</v>
      </c>
      <c r="K33" s="62">
        <f>IF(B33&lt;&gt;"",IF(AV33=0,BB33,IF(Feiertage!$G$2="ja","00:00",BB33)),"")</f>
        <v>0.33333333333333331</v>
      </c>
      <c r="L33" s="52">
        <f t="shared" ca="1" si="11"/>
        <v>-0.33333333333333331</v>
      </c>
      <c r="M33" s="50" t="str">
        <f>IF(AV33=1,AU33,IF(LOWER(AW33)=LOWER(Urlaub!$W$19),Urlaub!$S$19,
IF(LOWER(AW33)=LOWER(Urlaub!$W$20),Urlaub!$S$20,
IF(LOWER(AW33)=LOWER(Urlaub!$W$21),Urlaub!$S$21,
IF(LOWER(AW33)=LOWER(Urlaub!$W$22),Urlaub!$S$22,
IF(LOWER(AW33)=LOWER(Urlaub!$W$23),Urlaub!$S$23,
IF(LOWER(AW33)=LOWER(Urlaub!$W$24),Urlaub!$S$24,""))))))&amp;IF(AND(EXACT(LOWER(AW33),AW33),AW33&lt;&gt;0)," 1/2",""))</f>
        <v/>
      </c>
      <c r="N33" s="53">
        <f>IF(J33&lt;&gt;"",24*J33*IF(WEEKDAY(C33)=WEEKDAY($P$6),$S$6,
IF(WEEKDAY(C33)=WEEKDAY($P$7),$S$7,
IF(WEEKDAY(C33)=WEEKDAY($P$8),$S$8,
IF(WEEKDAY(C33)=WEEKDAY($P$9),$S$9,
IF(WEEKDAY(C33)=WEEKDAY($P$10),$S$10,
IF(WEEKDAY(C33)=WEEKDAY($P$11),$S$11,
IF(WEEKDAY(C33)=WEEKDAY($P$12),$S$12,""))))))),"")</f>
        <v>0</v>
      </c>
      <c r="AU33" t="str">
        <f>IF(AV33=1,VLOOKUP($B33,Feiertage!$B$2:$D$49,3,FALSE),"")</f>
        <v/>
      </c>
      <c r="AV33">
        <f>IF(IFERROR(MATCH($B33,Feiertage!$B$2:$B$49,0)&gt;0,0),1,0)</f>
        <v>0</v>
      </c>
      <c r="AW33" s="22">
        <f>IFERROR(HLOOKUP(DAY(B33),Urlaub!$C$4:$AG$16,MONTH(B33)+1,FALSE),0)</f>
        <v>0</v>
      </c>
      <c r="AX33" s="38">
        <f t="shared" si="10"/>
        <v>0</v>
      </c>
      <c r="AY33" s="7">
        <f t="shared" si="4"/>
        <v>2.0833333333333301E-2</v>
      </c>
      <c r="AZ33" s="5">
        <f t="shared" si="5"/>
        <v>0</v>
      </c>
      <c r="BA33" s="39">
        <f t="shared" si="7"/>
        <v>0</v>
      </c>
      <c r="BB33" s="5">
        <f t="shared" si="6"/>
        <v>0.33333333333333331</v>
      </c>
    </row>
    <row r="34" spans="2:54" ht="18.75" x14ac:dyDescent="0.3">
      <c r="B34" s="43">
        <f t="shared" ref="B34:B35" si="12">IF(B33&lt;&gt;"",IF(MONTH($B$1)&lt;MONTH(B33+1),"",B33+1),"")</f>
        <v>41727</v>
      </c>
      <c r="C34" s="44">
        <f t="shared" si="9"/>
        <v>41727</v>
      </c>
      <c r="D34" s="3"/>
      <c r="E34" s="62"/>
      <c r="F34" s="62"/>
      <c r="G34" s="62"/>
      <c r="H34" s="62"/>
      <c r="I34" s="62" t="str">
        <f t="shared" ca="1" si="0"/>
        <v/>
      </c>
      <c r="J34" s="52">
        <f>IF(B34&lt;&gt;"",IF(AND(Feiertage!$G$2&lt;&gt;"ja",AV34=1),IF(AZ34&gt;0,BB34+AZ34,BB34),IF(AZ34=0,0, IF(I34&lt;&gt;"",AZ34-I34,AZ34)))+AX34,"")</f>
        <v>0.33333333333333331</v>
      </c>
      <c r="K34" s="62">
        <f>IF(B34&lt;&gt;"",IF(AV34=0,BB34,IF(Feiertage!$G$2="ja","00:00",BB34)),"")</f>
        <v>0.33333333333333331</v>
      </c>
      <c r="L34" s="52" t="str">
        <f t="shared" ca="1" si="11"/>
        <v/>
      </c>
      <c r="M34" s="50" t="str">
        <f>IF(AV34=1,AU34,IF(LOWER(AW34)=LOWER(Urlaub!$W$19),Urlaub!$S$19,
IF(LOWER(AW34)=LOWER(Urlaub!$W$20),Urlaub!$S$20,
IF(LOWER(AW34)=LOWER(Urlaub!$W$21),Urlaub!$S$21,
IF(LOWER(AW34)=LOWER(Urlaub!$W$22),Urlaub!$S$22,
IF(LOWER(AW34)=LOWER(Urlaub!$W$23),Urlaub!$S$23,
IF(LOWER(AW34)=LOWER(Urlaub!$W$24),Urlaub!$S$24,""))))))&amp;IF(AND(EXACT(LOWER(AW34),AW34),AW34&lt;&gt;0)," 1/2",""))</f>
        <v>Karfreitag</v>
      </c>
      <c r="N34" s="53">
        <f>IF(J34&lt;&gt;"",24*J34*IF(WEEKDAY(C34)=WEEKDAY($P$6),$S$6,
IF(WEEKDAY(C34)=WEEKDAY($P$7),$S$7,
IF(WEEKDAY(C34)=WEEKDAY($P$8),$S$8,
IF(WEEKDAY(C34)=WEEKDAY($P$9),$S$9,
IF(WEEKDAY(C34)=WEEKDAY($P$10),$S$10,
IF(WEEKDAY(C34)=WEEKDAY($P$11),$S$11,
IF(WEEKDAY(C34)=WEEKDAY($P$12),$S$12,""))))))),"")</f>
        <v>0</v>
      </c>
      <c r="AU34" t="str">
        <f>IF(AV34=1,VLOOKUP($B34,Feiertage!$B$2:$D$49,3,FALSE),"")</f>
        <v>Karfreitag</v>
      </c>
      <c r="AV34">
        <f>IF(IFERROR(MATCH($B34,Feiertage!$B$2:$B$49,0)&gt;0,0),1,0)</f>
        <v>1</v>
      </c>
      <c r="AW34" s="22">
        <f>IFERROR(HLOOKUP(DAY(B34),Urlaub!$C$4:$AG$16,MONTH(B34)+1,FALSE),0)</f>
        <v>0</v>
      </c>
      <c r="AX34" s="38">
        <f t="shared" si="10"/>
        <v>0</v>
      </c>
      <c r="AY34" s="7">
        <f t="shared" si="4"/>
        <v>2.0833333333333301E-2</v>
      </c>
      <c r="AZ34" s="5">
        <f t="shared" si="5"/>
        <v>0</v>
      </c>
      <c r="BA34" s="39">
        <f t="shared" si="7"/>
        <v>0</v>
      </c>
      <c r="BB34" s="5">
        <f t="shared" si="6"/>
        <v>0.33333333333333331</v>
      </c>
    </row>
    <row r="35" spans="2:54" ht="19.5" thickBot="1" x14ac:dyDescent="0.35">
      <c r="B35" s="70">
        <f t="shared" si="12"/>
        <v>41728</v>
      </c>
      <c r="C35" s="71">
        <f t="shared" si="9"/>
        <v>41728</v>
      </c>
      <c r="D35" s="72"/>
      <c r="E35" s="73"/>
      <c r="F35" s="73"/>
      <c r="G35" s="73"/>
      <c r="H35" s="74"/>
      <c r="I35" s="74" t="str">
        <f t="shared" ca="1" si="0"/>
        <v/>
      </c>
      <c r="J35" s="76">
        <f>IF(B35&lt;&gt;"",IF(AND(Feiertage!$G$2&lt;&gt;"ja",AV35=1),IF(AZ35&gt;0,BB35+AZ35,BB35),IF(AZ35=0,0, IF(I35&lt;&gt;"",AZ35-I35,AZ35)))+AX35,"")</f>
        <v>0</v>
      </c>
      <c r="K35" s="73">
        <f>IF(B35&lt;&gt;"",IF(AV35=0,BB35,IF(Feiertage!$G$2="ja","00:00",BB35)),"")</f>
        <v>0</v>
      </c>
      <c r="L35" s="52" t="str">
        <f t="shared" ca="1" si="11"/>
        <v/>
      </c>
      <c r="M35" s="50" t="str">
        <f>IF(AV35=1,AU35,IF(LOWER(AW35)=LOWER(Urlaub!$W$19),Urlaub!$S$19,
IF(LOWER(AW35)=LOWER(Urlaub!$W$20),Urlaub!$S$20,
IF(LOWER(AW35)=LOWER(Urlaub!$W$21),Urlaub!$S$21,
IF(LOWER(AW35)=LOWER(Urlaub!$W$22),Urlaub!$S$22,
IF(LOWER(AW35)=LOWER(Urlaub!$W$23),Urlaub!$S$23,
IF(LOWER(AW35)=LOWER(Urlaub!$W$24),Urlaub!$S$24,""))))))&amp;IF(AND(EXACT(LOWER(AW35),AW35),AW35&lt;&gt;0)," 1/2",""))</f>
        <v/>
      </c>
      <c r="N35" s="77">
        <f>IF(J35&lt;&gt;"",24*J35*IF(WEEKDAY(C35)=WEEKDAY($P$6),$S$6,
IF(WEEKDAY(C35)=WEEKDAY($P$7),$S$7,
IF(WEEKDAY(C35)=WEEKDAY($P$8),$S$8,
IF(WEEKDAY(C35)=WEEKDAY($P$9),$S$9,
IF(WEEKDAY(C35)=WEEKDAY($P$10),$S$10,
IF(WEEKDAY(C35)=WEEKDAY($P$11),$S$11,
IF(WEEKDAY(C35)=WEEKDAY($P$12),$S$12,""))))))),"")</f>
        <v>0</v>
      </c>
      <c r="AU35" t="str">
        <f>IF(AV35=1,VLOOKUP($B35,Feiertage!$B$2:$D$49,3,FALSE),"")</f>
        <v/>
      </c>
      <c r="AV35">
        <f>IF(IFERROR(MATCH($B35,Feiertage!$B$2:$B$49,0)&gt;0,0),1,0)</f>
        <v>0</v>
      </c>
      <c r="AW35" s="22">
        <f>IFERROR(HLOOKUP(DAY(B35),Urlaub!$C$4:$AG$16,MONTH(B35)+1,FALSE),0)</f>
        <v>0</v>
      </c>
      <c r="AX35" s="38">
        <f t="shared" si="10"/>
        <v>0</v>
      </c>
      <c r="AY35" s="7">
        <f t="shared" si="4"/>
        <v>2.0833333333333301E-2</v>
      </c>
      <c r="AZ35" s="5">
        <f t="shared" si="5"/>
        <v>0</v>
      </c>
      <c r="BA35" s="39">
        <f t="shared" si="7"/>
        <v>0</v>
      </c>
      <c r="BB35" s="5">
        <f t="shared" si="6"/>
        <v>0</v>
      </c>
    </row>
    <row r="36" spans="2:54" ht="5.25" customHeight="1" thickTop="1" thickBot="1" x14ac:dyDescent="0.3">
      <c r="B36" s="1"/>
      <c r="H36" s="75"/>
      <c r="I36" s="75"/>
      <c r="J36" s="75"/>
      <c r="K36" s="2"/>
      <c r="L36" s="75"/>
    </row>
    <row r="37" spans="2:54" ht="24" thickBot="1" x14ac:dyDescent="0.4">
      <c r="B37" s="139" t="s">
        <v>74</v>
      </c>
      <c r="C37" s="140"/>
      <c r="D37" s="140"/>
      <c r="E37" s="140"/>
      <c r="F37" s="140"/>
      <c r="G37" s="140"/>
      <c r="H37" s="140"/>
      <c r="I37" s="141"/>
      <c r="J37" s="47">
        <f>SUM(J5:J35)</f>
        <v>0.33333333333333331</v>
      </c>
      <c r="K37" s="47">
        <f t="shared" ref="K37" si="13">SUM(K5:K35)</f>
        <v>7.3333333333333304</v>
      </c>
      <c r="L37" s="47">
        <f ca="1">SUM(L5:L35)</f>
        <v>-6.9999999999999973</v>
      </c>
      <c r="M37" s="47">
        <f>SUM(AX5:AX35)</f>
        <v>0</v>
      </c>
      <c r="N37" s="48">
        <f t="shared" ref="N37" si="14">SUM(N5:N35)</f>
        <v>0</v>
      </c>
    </row>
    <row r="38" spans="2:54" x14ac:dyDescent="0.25">
      <c r="B38" s="1"/>
    </row>
    <row r="39" spans="2:54" x14ac:dyDescent="0.25">
      <c r="B39" s="1"/>
    </row>
  </sheetData>
  <sheetProtection algorithmName="SHA-512" hashValue="8J07faC2/kp0TvWR3IWDHx3Ak7ZX2iB4OKxw5UK5IanV8XkaF8O8cZkiaxlnZ4BPGvCV7BGBdu9Gg3YvZaGGCg==" saltValue="xHVamhTKLgEmE7HB9za3uQ==" spinCount="100000" sheet="1" selectLockedCells="1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7">
    <mergeCell ref="E3:H3"/>
    <mergeCell ref="B37:I37"/>
    <mergeCell ref="B1:N1"/>
    <mergeCell ref="U4:V4"/>
    <mergeCell ref="P4:S4"/>
    <mergeCell ref="P15:V15"/>
    <mergeCell ref="P16:V18"/>
  </mergeCells>
  <conditionalFormatting sqref="B5:N35">
    <cfRule type="expression" dxfId="35" priority="2" stopIfTrue="1">
      <formula>WEEKDAY($B5,2)&gt;5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11816011-B4F0-4BFF-8D23-AD7C62C2C77A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B5:N35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39"/>
  <sheetViews>
    <sheetView showGridLines="0" workbookViewId="0">
      <pane xSplit="4" ySplit="4" topLeftCell="E5" activePane="bottomRight" state="frozen"/>
      <selection activeCell="B1" sqref="B1:N1"/>
      <selection pane="topRight" activeCell="B1" sqref="B1:N1"/>
      <selection pane="bottomLeft" activeCell="B1" sqref="B1:N1"/>
      <selection pane="bottomRight" activeCell="E5" sqref="E5"/>
    </sheetView>
  </sheetViews>
  <sheetFormatPr baseColWidth="10" defaultRowHeight="15" x14ac:dyDescent="0.25"/>
  <cols>
    <col min="1" max="1" width="2.28515625" customWidth="1"/>
    <col min="2" max="2" width="8.85546875" customWidth="1"/>
    <col min="3" max="3" width="7.28515625" customWidth="1"/>
    <col min="4" max="4" width="1" customWidth="1"/>
    <col min="5" max="8" width="7.7109375" customWidth="1"/>
    <col min="9" max="9" width="8" customWidth="1"/>
    <col min="10" max="10" width="12.42578125" customWidth="1"/>
    <col min="11" max="11" width="12.140625" customWidth="1"/>
    <col min="12" max="12" width="12.85546875" customWidth="1"/>
    <col min="13" max="13" width="16.5703125" bestFit="1" customWidth="1"/>
    <col min="14" max="14" width="17.85546875" customWidth="1"/>
    <col min="15" max="15" width="4.28515625" customWidth="1"/>
    <col min="16" max="16" width="18.7109375" customWidth="1"/>
    <col min="17" max="17" width="12.28515625" customWidth="1"/>
    <col min="18" max="18" width="11.140625" customWidth="1"/>
    <col min="19" max="19" width="15.7109375" customWidth="1"/>
    <col min="20" max="20" width="4.140625" customWidth="1"/>
    <col min="21" max="21" width="29.140625" customWidth="1"/>
    <col min="22" max="22" width="16" customWidth="1"/>
    <col min="47" max="55" width="13.7109375" customWidth="1"/>
  </cols>
  <sheetData>
    <row r="1" spans="1:54" ht="24.75" customHeight="1" thickBot="1" x14ac:dyDescent="0.5">
      <c r="A1" s="117">
        <v>41639</v>
      </c>
      <c r="B1" s="142">
        <f>EDATE(Januar!$A$1,3)</f>
        <v>41729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54" s="21" customFormat="1" ht="24.75" customHeight="1" thickBot="1" x14ac:dyDescent="0.5">
      <c r="B2" s="59"/>
      <c r="C2" s="59"/>
      <c r="D2" s="59"/>
      <c r="E2" s="60"/>
      <c r="F2" s="60"/>
      <c r="G2" s="60"/>
      <c r="H2" s="60"/>
      <c r="I2" s="59"/>
      <c r="J2" s="59"/>
      <c r="K2" s="59"/>
      <c r="L2" s="59"/>
      <c r="M2" s="59"/>
      <c r="N2" s="59"/>
    </row>
    <row r="3" spans="1:54" ht="19.5" thickBot="1" x14ac:dyDescent="0.35">
      <c r="B3" s="58"/>
      <c r="C3" s="58"/>
      <c r="D3" s="58"/>
      <c r="E3" s="145" t="s">
        <v>0</v>
      </c>
      <c r="F3" s="146"/>
      <c r="G3" s="146"/>
      <c r="H3" s="147"/>
      <c r="I3" s="58"/>
      <c r="J3" s="58"/>
      <c r="K3" s="58"/>
      <c r="L3" s="58"/>
      <c r="M3" s="58"/>
      <c r="N3" s="58"/>
      <c r="O3" s="2"/>
    </row>
    <row r="4" spans="1:54" ht="19.5" thickBot="1" x14ac:dyDescent="0.35">
      <c r="B4" s="41" t="s">
        <v>4</v>
      </c>
      <c r="C4" s="41" t="s">
        <v>5</v>
      </c>
      <c r="D4" s="42"/>
      <c r="E4" s="41" t="s">
        <v>1</v>
      </c>
      <c r="F4" s="41" t="s">
        <v>2</v>
      </c>
      <c r="G4" s="41" t="s">
        <v>1</v>
      </c>
      <c r="H4" s="41" t="s">
        <v>2</v>
      </c>
      <c r="I4" s="41" t="s">
        <v>3</v>
      </c>
      <c r="J4" s="41" t="s">
        <v>7</v>
      </c>
      <c r="K4" s="41" t="s">
        <v>6</v>
      </c>
      <c r="L4" s="41" t="s">
        <v>11</v>
      </c>
      <c r="M4" s="41" t="s">
        <v>56</v>
      </c>
      <c r="N4" s="41" t="s">
        <v>71</v>
      </c>
      <c r="O4" s="20"/>
      <c r="P4" s="150" t="s">
        <v>10</v>
      </c>
      <c r="Q4" s="151"/>
      <c r="R4" s="151"/>
      <c r="S4" s="152"/>
      <c r="U4" s="148" t="s">
        <v>81</v>
      </c>
      <c r="V4" s="149"/>
      <c r="AU4" s="36" t="s">
        <v>46</v>
      </c>
      <c r="AV4" s="36" t="s">
        <v>46</v>
      </c>
      <c r="AW4" s="37" t="s">
        <v>66</v>
      </c>
      <c r="AX4" s="36" t="s">
        <v>67</v>
      </c>
      <c r="AY4" s="6" t="s">
        <v>3</v>
      </c>
      <c r="AZ4" s="36" t="s">
        <v>7</v>
      </c>
      <c r="BA4" s="36" t="s">
        <v>72</v>
      </c>
      <c r="BB4" s="6" t="s">
        <v>6</v>
      </c>
    </row>
    <row r="5" spans="1:54" ht="21.75" thickBot="1" x14ac:dyDescent="0.4">
      <c r="B5" s="45">
        <f>B1</f>
        <v>41729</v>
      </c>
      <c r="C5" s="46">
        <f>B5</f>
        <v>41729</v>
      </c>
      <c r="D5" s="3"/>
      <c r="E5" s="61"/>
      <c r="F5" s="61"/>
      <c r="G5" s="61"/>
      <c r="H5" s="61"/>
      <c r="I5" s="61" t="str">
        <f t="shared" ref="I5:I35" ca="1" si="0">IF(AZ5=0,"",IF(AY5=0,"",IF(OR(B5&lt;=TODAY(),AZ5),AY5,"")))</f>
        <v/>
      </c>
      <c r="J5" s="49">
        <f>IF(AND(Feiertage!$G$2&lt;&gt;"ja",AV5=1),IF(AZ5&gt;0,BB5+AZ5,BB5),IF(AZ5=0,0, IF(I5&lt;&gt;"",AZ5-I5,AZ5)))+AX5</f>
        <v>0</v>
      </c>
      <c r="K5" s="61">
        <f>IF(AV5=0,BB5,IF(Feiertage!$G$2="ja","00:00",BB5))</f>
        <v>0</v>
      </c>
      <c r="L5" s="52" t="str">
        <f t="shared" ref="L5:L18" ca="1" si="1">IF(OR(B5&lt;=TODAY(),J5,AW5="G"),IF(J5&lt;&gt;"",IF(J5-K5=0,"",J5-K5),IF(K5&lt;&gt;"",-K5,"")),"")</f>
        <v/>
      </c>
      <c r="M5" s="50" t="str">
        <f>IF(AV5=1,AU5,IF(LOWER(AW5)=LOWER(Urlaub!$W$19),Urlaub!$S$19,
IF(LOWER(AW5)=LOWER(Urlaub!$W$20),Urlaub!$S$20,
IF(LOWER(AW5)=LOWER(Urlaub!$W$21),Urlaub!$S$21,
IF(LOWER(AW5)=LOWER(Urlaub!$W$22),Urlaub!$S$22,
IF(LOWER(AW5)=LOWER(Urlaub!$W$23),Urlaub!$S$23,
IF(LOWER(AW5)=LOWER(Urlaub!$W$24),Urlaub!$S$24,""))))))&amp;IF(AND(EXACT(LOWER(AW5),AW5),AW5&lt;&gt;0)," 1/2",""))</f>
        <v>Ostersonntag</v>
      </c>
      <c r="N5" s="51">
        <f t="shared" ref="N5:N32" si="2">24*J5*IF(WEEKDAY(C5)=WEEKDAY($P$6),$S$6,
IF(WEEKDAY(C5)=WEEKDAY($P$7),$S$7,
IF(WEEKDAY(C5)=WEEKDAY($P$8),$S$8,
IF(WEEKDAY(C5)=WEEKDAY($P$9),$S$9,
IF(WEEKDAY(C5)=WEEKDAY($P$10),$S$10,
IF(WEEKDAY(C5)=WEEKDAY($P$11),$S$11,
IF(WEEKDAY(C5)=WEEKDAY($P$12),$S$12,"")))))))</f>
        <v>0</v>
      </c>
      <c r="P5" s="41" t="s">
        <v>8</v>
      </c>
      <c r="Q5" s="41" t="s">
        <v>6</v>
      </c>
      <c r="R5" s="41" t="s">
        <v>3</v>
      </c>
      <c r="S5" s="41" t="s">
        <v>70</v>
      </c>
      <c r="U5" s="112" t="str">
        <f xml:space="preserve"> "Übertrag aus " &amp; IF( MONTH(B1)=1, YEAR(B1)-1, TEXT(EDATE(B1,-1),"MMMM"))</f>
        <v>Übertrag aus März</v>
      </c>
      <c r="V5" s="130">
        <f ca="1">IF(MONTH(B1)&gt;1,INDIRECT(TEXT(EDATE(B1,-1),"MMMM")&amp;"!v10"),"")</f>
        <v>-20.999999999999993</v>
      </c>
      <c r="AU5" t="str">
        <f>IF(AV5=1,VLOOKUP($B5,Feiertage!$B$2:$D$49,3,FALSE),"")</f>
        <v>Ostersonntag</v>
      </c>
      <c r="AV5">
        <f>IF(IFERROR(MATCH($B5,Feiertage!$B$2:$B$49,0)&gt;0,0),1,0)</f>
        <v>1</v>
      </c>
      <c r="AW5" s="22">
        <f>IFERROR(HLOOKUP(DAY(B5),Urlaub!$C$4:$AG$16,MONTH(B5)+1,FALSE),0)</f>
        <v>0</v>
      </c>
      <c r="AX5" s="38">
        <f t="shared" ref="AX5:AX16" si="3">IFERROR(IF(AW5=0,0,IF(EXACT(LOWER(AW5),AW5),0.5*BB5,BB5)),"")</f>
        <v>0</v>
      </c>
      <c r="AY5" s="7">
        <f t="shared" ref="AY5:AY35" si="4">IFERROR(IF(WEEKDAY(C5)=WEEKDAY($P$6),$R$6,
IF(WEEKDAY(C5)=WEEKDAY($P$7),$R$7,
IF(WEEKDAY(C5)=WEEKDAY($P$8),$R$8,
IF(WEEKDAY(C5)=WEEKDAY($P$9),$R$9,
IF(WEEKDAY(C5)=WEEKDAY($P$10),$R$10,
IF(WEEKDAY(C5)=WEEKDAY($P$11),$R$11,
IF(WEEKDAY(C5)=WEEKDAY($P$12),$R$12,""))))))),"")</f>
        <v>2.0833333333333301E-2</v>
      </c>
      <c r="AZ5" s="5">
        <f t="shared" ref="AZ5:AZ35" si="5">IF(F5,IF(E5,IF(E5&gt;F5,F5+"24:00"-E5,F5-E5),0),0)+IF(G5,IF(G5,IF(G5&gt;H5,H5+"24:00"-G5,H5-G5),0),0)</f>
        <v>0</v>
      </c>
      <c r="BA5" s="39">
        <f>AZ5*24</f>
        <v>0</v>
      </c>
      <c r="BB5" s="5">
        <f t="shared" ref="BB5:BB35" si="6">IFERROR(IF(WEEKDAY(C5)=WEEKDAY($P$6),$Q$6,
IF(WEEKDAY(C5)=WEEKDAY($P$7),$Q$7,
IF(WEEKDAY(C5)=WEEKDAY($P$8),$Q$8,
IF(WEEKDAY(C5)=WEEKDAY($P$9),$Q$9,
IF(WEEKDAY(C5)=WEEKDAY($P$10),$Q$10,
IF(WEEKDAY(C5)=WEEKDAY($P$11),$Q$11,
IF(WEEKDAY(C5)=WEEKDAY($P$12),$Q$12,""))))))),"")</f>
        <v>0</v>
      </c>
    </row>
    <row r="6" spans="1:54" ht="21" x14ac:dyDescent="0.35">
      <c r="B6" s="43">
        <f>B5+1</f>
        <v>41730</v>
      </c>
      <c r="C6" s="44">
        <f>B6</f>
        <v>41730</v>
      </c>
      <c r="D6" s="3"/>
      <c r="E6" s="62"/>
      <c r="F6" s="62"/>
      <c r="G6" s="62"/>
      <c r="H6" s="62"/>
      <c r="I6" s="62" t="str">
        <f t="shared" ca="1" si="0"/>
        <v/>
      </c>
      <c r="J6" s="52">
        <f>IF(AND(Feiertage!$G$2&lt;&gt;"ja",AV6=1),IF(AZ6&gt;0,BB6+AZ6,BB6),IF(AZ6=0,0, IF(I6&lt;&gt;"",AZ6-I6,AZ6)))+AX6</f>
        <v>0.33333333333333331</v>
      </c>
      <c r="K6" s="62">
        <f>IF(AV6=0,BB6,IF(Feiertage!$G$2="ja","00:00",BB6))</f>
        <v>0.33333333333333331</v>
      </c>
      <c r="L6" s="52" t="str">
        <f t="shared" ca="1" si="1"/>
        <v/>
      </c>
      <c r="M6" s="50" t="str">
        <f>IF(AV6=1,AU6,IF(LOWER(AW6)=LOWER(Urlaub!$W$19),Urlaub!$S$19,
IF(LOWER(AW6)=LOWER(Urlaub!$W$20),Urlaub!$S$20,
IF(LOWER(AW6)=LOWER(Urlaub!$W$21),Urlaub!$S$21,
IF(LOWER(AW6)=LOWER(Urlaub!$W$22),Urlaub!$S$22,
IF(LOWER(AW6)=LOWER(Urlaub!$W$23),Urlaub!$S$23,
IF(LOWER(AW6)=LOWER(Urlaub!$W$24),Urlaub!$S$24,""))))))&amp;IF(AND(EXACT(LOWER(AW6),AW6),AW6&lt;&gt;0)," 1/2",""))</f>
        <v>Ostermontag</v>
      </c>
      <c r="N6" s="53">
        <f t="shared" si="2"/>
        <v>0</v>
      </c>
      <c r="P6" s="54">
        <v>41639</v>
      </c>
      <c r="Q6" s="63">
        <v>0.33333333333333331</v>
      </c>
      <c r="R6" s="63">
        <v>2.0833333333333332E-2</v>
      </c>
      <c r="S6" s="64"/>
      <c r="U6" s="114" t="s">
        <v>6</v>
      </c>
      <c r="V6" s="113">
        <f>SUM(K5:K35)</f>
        <v>6.9999999999999973</v>
      </c>
      <c r="AU6" t="str">
        <f>IF(AV6=1,VLOOKUP($B6,Feiertage!$B$2:$D$49,3,FALSE),"")</f>
        <v>Ostermontag</v>
      </c>
      <c r="AV6">
        <f>IF(IFERROR(MATCH($B6,Feiertage!$B$2:$B$49,0)&gt;0,0),1,0)</f>
        <v>1</v>
      </c>
      <c r="AW6" s="22">
        <f>IFERROR(HLOOKUP(DAY(B6),Urlaub!$C$4:$AG$16,MONTH(B6)+1,FALSE),0)</f>
        <v>0</v>
      </c>
      <c r="AX6" s="38">
        <f t="shared" si="3"/>
        <v>0</v>
      </c>
      <c r="AY6" s="7">
        <f t="shared" si="4"/>
        <v>2.0833333333333332E-2</v>
      </c>
      <c r="AZ6" s="5">
        <f t="shared" si="5"/>
        <v>0</v>
      </c>
      <c r="BA6" s="39">
        <f t="shared" ref="BA6:BA35" si="7">AZ6*24</f>
        <v>0</v>
      </c>
      <c r="BB6" s="5">
        <f t="shared" si="6"/>
        <v>0.33333333333333331</v>
      </c>
    </row>
    <row r="7" spans="1:54" ht="21" x14ac:dyDescent="0.35">
      <c r="B7" s="43">
        <f t="shared" ref="B7:B32" si="8">B6+1</f>
        <v>41731</v>
      </c>
      <c r="C7" s="44">
        <f t="shared" ref="C7:C35" si="9">B7</f>
        <v>41731</v>
      </c>
      <c r="D7" s="3"/>
      <c r="E7" s="62"/>
      <c r="F7" s="62"/>
      <c r="G7" s="62"/>
      <c r="H7" s="62"/>
      <c r="I7" s="62" t="str">
        <f t="shared" ca="1" si="0"/>
        <v/>
      </c>
      <c r="J7" s="52">
        <f>IF(AND(Feiertage!$G$2&lt;&gt;"ja",AV7=1),IF(AZ7&gt;0,BB7+AZ7,BB7),IF(AZ7=0,0, IF(I7&lt;&gt;"",AZ7-I7,AZ7)))+AX7</f>
        <v>0</v>
      </c>
      <c r="K7" s="62">
        <f>IF(AV7=0,BB7,IF(Feiertage!$G$2="ja","00:00",BB7))</f>
        <v>0.33333333333333331</v>
      </c>
      <c r="L7" s="52">
        <f t="shared" ca="1" si="1"/>
        <v>-0.33333333333333331</v>
      </c>
      <c r="M7" s="50" t="str">
        <f>IF(AV7=1,AU7,IF(LOWER(AW7)=LOWER(Urlaub!$W$19),Urlaub!$S$19,
IF(LOWER(AW7)=LOWER(Urlaub!$W$20),Urlaub!$S$20,
IF(LOWER(AW7)=LOWER(Urlaub!$W$21),Urlaub!$S$21,
IF(LOWER(AW7)=LOWER(Urlaub!$W$22),Urlaub!$S$22,
IF(LOWER(AW7)=LOWER(Urlaub!$W$23),Urlaub!$S$23,
IF(LOWER(AW7)=LOWER(Urlaub!$W$24),Urlaub!$S$24,""))))))&amp;IF(AND(EXACT(LOWER(AW7),AW7),AW7&lt;&gt;0)," 1/2",""))</f>
        <v/>
      </c>
      <c r="N7" s="53">
        <f t="shared" si="2"/>
        <v>0</v>
      </c>
      <c r="P7" s="55">
        <v>41640</v>
      </c>
      <c r="Q7" s="65">
        <v>0.33333333333333331</v>
      </c>
      <c r="R7" s="63">
        <v>2.0833333333333332E-2</v>
      </c>
      <c r="S7" s="66"/>
      <c r="U7" s="114" t="s">
        <v>7</v>
      </c>
      <c r="V7" s="113">
        <f>SUM(J5:J35)</f>
        <v>0.33333333333333331</v>
      </c>
      <c r="AU7" t="str">
        <f>IF(AV7=1,VLOOKUP($B7,Feiertage!$B$2:$D$49,3,FALSE),"")</f>
        <v/>
      </c>
      <c r="AV7">
        <f>IF(IFERROR(MATCH($B7,Feiertage!$B$2:$B$49,0)&gt;0,0),1,0)</f>
        <v>0</v>
      </c>
      <c r="AW7" s="22">
        <f>IFERROR(HLOOKUP(DAY(B7),Urlaub!$C$4:$AG$16,MONTH(B7)+1,FALSE),0)</f>
        <v>0</v>
      </c>
      <c r="AX7" s="38">
        <f t="shared" si="3"/>
        <v>0</v>
      </c>
      <c r="AY7" s="7">
        <f t="shared" si="4"/>
        <v>2.0833333333333332E-2</v>
      </c>
      <c r="AZ7" s="5">
        <f t="shared" si="5"/>
        <v>0</v>
      </c>
      <c r="BA7" s="39">
        <f t="shared" si="7"/>
        <v>0</v>
      </c>
      <c r="BB7" s="5">
        <f t="shared" si="6"/>
        <v>0.33333333333333331</v>
      </c>
    </row>
    <row r="8" spans="1:54" ht="21" x14ac:dyDescent="0.35">
      <c r="B8" s="43">
        <f t="shared" si="8"/>
        <v>41732</v>
      </c>
      <c r="C8" s="44">
        <f t="shared" si="9"/>
        <v>41732</v>
      </c>
      <c r="D8" s="3"/>
      <c r="E8" s="62"/>
      <c r="F8" s="62"/>
      <c r="G8" s="62"/>
      <c r="H8" s="62"/>
      <c r="I8" s="62" t="str">
        <f t="shared" ca="1" si="0"/>
        <v/>
      </c>
      <c r="J8" s="52">
        <f>IF(AND(Feiertage!$G$2&lt;&gt;"ja",AV8=1),IF(AZ8&gt;0,BB8+AZ8,BB8),IF(AZ8=0,0, IF(I8&lt;&gt;"",AZ8-I8,AZ8)))+AX8</f>
        <v>0</v>
      </c>
      <c r="K8" s="62">
        <f>IF(AV8=0,BB8,IF(Feiertage!$G$2="ja","00:00",BB8))</f>
        <v>0.33333333333333331</v>
      </c>
      <c r="L8" s="52">
        <f t="shared" ca="1" si="1"/>
        <v>-0.33333333333333331</v>
      </c>
      <c r="M8" s="50" t="str">
        <f>IF(AV8=1,AU8,IF(LOWER(AW8)=LOWER(Urlaub!$W$19),Urlaub!$S$19,
IF(LOWER(AW8)=LOWER(Urlaub!$W$20),Urlaub!$S$20,
IF(LOWER(AW8)=LOWER(Urlaub!$W$21),Urlaub!$S$21,
IF(LOWER(AW8)=LOWER(Urlaub!$W$22),Urlaub!$S$22,
IF(LOWER(AW8)=LOWER(Urlaub!$W$23),Urlaub!$S$23,
IF(LOWER(AW8)=LOWER(Urlaub!$W$24),Urlaub!$S$24,""))))))&amp;IF(AND(EXACT(LOWER(AW8),AW8),AW8&lt;&gt;0)," 1/2",""))</f>
        <v/>
      </c>
      <c r="N8" s="53">
        <f t="shared" si="2"/>
        <v>0</v>
      </c>
      <c r="P8" s="55">
        <v>41641</v>
      </c>
      <c r="Q8" s="65">
        <v>0.33333333333333331</v>
      </c>
      <c r="R8" s="63">
        <v>2.0833333333333301E-2</v>
      </c>
      <c r="S8" s="66"/>
      <c r="U8" s="115" t="str">
        <f xml:space="preserve"> "Saldo " &amp; TEXT(B1,"MMMM")</f>
        <v>Saldo April</v>
      </c>
      <c r="V8" s="132">
        <f ca="1">SUM(L5:L35)</f>
        <v>-6.6666666666666643</v>
      </c>
      <c r="AU8" t="str">
        <f>IF(AV8=1,VLOOKUP($B8,Feiertage!$B$2:$D$49,3,FALSE),"")</f>
        <v/>
      </c>
      <c r="AV8">
        <f>IF(IFERROR(MATCH($B8,Feiertage!$B$2:$B$49,0)&gt;0,0),1,0)</f>
        <v>0</v>
      </c>
      <c r="AW8" s="22">
        <f>IFERROR(HLOOKUP(DAY(B8),Urlaub!$C$4:$AG$16,MONTH(B8)+1,FALSE),0)</f>
        <v>0</v>
      </c>
      <c r="AX8" s="38">
        <f t="shared" si="3"/>
        <v>0</v>
      </c>
      <c r="AY8" s="7">
        <f t="shared" si="4"/>
        <v>2.0833333333333301E-2</v>
      </c>
      <c r="AZ8" s="5">
        <f t="shared" si="5"/>
        <v>0</v>
      </c>
      <c r="BA8" s="39">
        <f t="shared" si="7"/>
        <v>0</v>
      </c>
      <c r="BB8" s="5">
        <f t="shared" si="6"/>
        <v>0.33333333333333331</v>
      </c>
    </row>
    <row r="9" spans="1:54" ht="18.75" x14ac:dyDescent="0.3">
      <c r="B9" s="43">
        <f t="shared" si="8"/>
        <v>41733</v>
      </c>
      <c r="C9" s="44">
        <f t="shared" si="9"/>
        <v>41733</v>
      </c>
      <c r="D9" s="3"/>
      <c r="E9" s="62"/>
      <c r="F9" s="62"/>
      <c r="G9" s="62"/>
      <c r="H9" s="62"/>
      <c r="I9" s="62" t="str">
        <f t="shared" ca="1" si="0"/>
        <v/>
      </c>
      <c r="J9" s="52">
        <f>IF(AND(Feiertage!$G$2&lt;&gt;"ja",AV9=1),IF(AZ9&gt;0,BB9+AZ9,BB9),IF(AZ9=0,0, IF(I9&lt;&gt;"",AZ9-I9,AZ9)))+AX9</f>
        <v>0</v>
      </c>
      <c r="K9" s="62">
        <f>IF(AV9=0,BB9,IF(Feiertage!$G$2="ja","00:00",BB9))</f>
        <v>0.33333333333333331</v>
      </c>
      <c r="L9" s="52">
        <f t="shared" ca="1" si="1"/>
        <v>-0.33333333333333331</v>
      </c>
      <c r="M9" s="50" t="str">
        <f>IF(AV9=1,AU9,IF(LOWER(AW9)=LOWER(Urlaub!$W$19),Urlaub!$S$19,
IF(LOWER(AW9)=LOWER(Urlaub!$W$20),Urlaub!$S$20,
IF(LOWER(AW9)=LOWER(Urlaub!$W$21),Urlaub!$S$21,
IF(LOWER(AW9)=LOWER(Urlaub!$W$22),Urlaub!$S$22,
IF(LOWER(AW9)=LOWER(Urlaub!$W$23),Urlaub!$S$23,
IF(LOWER(AW9)=LOWER(Urlaub!$W$24),Urlaub!$S$24,""))))))&amp;IF(AND(EXACT(LOWER(AW9),AW9),AW9&lt;&gt;0)," 1/2",""))</f>
        <v/>
      </c>
      <c r="N9" s="53">
        <f t="shared" si="2"/>
        <v>0</v>
      </c>
      <c r="P9" s="55">
        <v>41642</v>
      </c>
      <c r="Q9" s="65">
        <v>0.33333333333333331</v>
      </c>
      <c r="R9" s="63">
        <v>2.0833333333333301E-2</v>
      </c>
      <c r="S9" s="66"/>
      <c r="U9" s="131" t="s">
        <v>85</v>
      </c>
      <c r="V9" s="134"/>
      <c r="AU9" t="str">
        <f>IF(AV9=1,VLOOKUP($B9,Feiertage!$B$2:$D$49,3,FALSE),"")</f>
        <v/>
      </c>
      <c r="AV9">
        <f>IF(IFERROR(MATCH($B9,Feiertage!$B$2:$B$49,0)&gt;0,0),1,0)</f>
        <v>0</v>
      </c>
      <c r="AW9" s="22">
        <f>IFERROR(HLOOKUP(DAY(B9),Urlaub!$C$4:$AG$16,MONTH(B9)+1,FALSE),0)</f>
        <v>0</v>
      </c>
      <c r="AX9" s="38">
        <f t="shared" si="3"/>
        <v>0</v>
      </c>
      <c r="AY9" s="7">
        <f t="shared" si="4"/>
        <v>2.0833333333333301E-2</v>
      </c>
      <c r="AZ9" s="5">
        <f t="shared" si="5"/>
        <v>0</v>
      </c>
      <c r="BA9" s="39">
        <f t="shared" si="7"/>
        <v>0</v>
      </c>
      <c r="BB9" s="5">
        <f t="shared" si="6"/>
        <v>0.33333333333333331</v>
      </c>
    </row>
    <row r="10" spans="1:54" ht="21.75" thickBot="1" x14ac:dyDescent="0.4">
      <c r="B10" s="43">
        <f t="shared" si="8"/>
        <v>41734</v>
      </c>
      <c r="C10" s="44">
        <f t="shared" si="9"/>
        <v>41734</v>
      </c>
      <c r="D10" s="3"/>
      <c r="E10" s="62"/>
      <c r="F10" s="62"/>
      <c r="G10" s="62"/>
      <c r="H10" s="62"/>
      <c r="I10" s="62" t="str">
        <f t="shared" ca="1" si="0"/>
        <v/>
      </c>
      <c r="J10" s="52">
        <f>IF(AND(Feiertage!$G$2&lt;&gt;"ja",AV10=1),IF(AZ10&gt;0,BB10+AZ10,BB10),IF(AZ10=0,0, IF(I10&lt;&gt;"",AZ10-I10,AZ10)))+AX10</f>
        <v>0</v>
      </c>
      <c r="K10" s="62">
        <f>IF(AV10=0,BB10,IF(Feiertage!$G$2="ja","00:00",BB10))</f>
        <v>0.33333333333333331</v>
      </c>
      <c r="L10" s="52">
        <f t="shared" ca="1" si="1"/>
        <v>-0.33333333333333331</v>
      </c>
      <c r="M10" s="50" t="str">
        <f>IF(AV10=1,AU10,IF(LOWER(AW10)=LOWER(Urlaub!$W$19),Urlaub!$S$19,
IF(LOWER(AW10)=LOWER(Urlaub!$W$20),Urlaub!$S$20,
IF(LOWER(AW10)=LOWER(Urlaub!$W$21),Urlaub!$S$21,
IF(LOWER(AW10)=LOWER(Urlaub!$W$22),Urlaub!$S$22,
IF(LOWER(AW10)=LOWER(Urlaub!$W$23),Urlaub!$S$23,
IF(LOWER(AW10)=LOWER(Urlaub!$W$24),Urlaub!$S$24,""))))))&amp;IF(AND(EXACT(LOWER(AW10),AW10),AW10&lt;&gt;0)," 1/2",""))</f>
        <v/>
      </c>
      <c r="N10" s="53">
        <f t="shared" si="2"/>
        <v>0</v>
      </c>
      <c r="P10" s="55">
        <v>41643</v>
      </c>
      <c r="Q10" s="65">
        <v>0.33333333333333331</v>
      </c>
      <c r="R10" s="63">
        <v>2.0833333333333301E-2</v>
      </c>
      <c r="S10" s="66"/>
      <c r="U10" s="116" t="str">
        <f xml:space="preserve"> "Übertrag in " &amp;  IF( MONTH(B1)=12, YEAR(B1)+1, TEXT(EDATE(B1,1),"MMMM"))</f>
        <v>Übertrag in Mai</v>
      </c>
      <c r="V10" s="133">
        <f ca="1">IF(V5="",0,V5)+V8+V9</f>
        <v>-27.666666666666657</v>
      </c>
      <c r="AU10" t="str">
        <f>IF(AV10=1,VLOOKUP($B10,Feiertage!$B$2:$D$49,3,FALSE),"")</f>
        <v/>
      </c>
      <c r="AV10">
        <f>IF(IFERROR(MATCH($B10,Feiertage!$B$2:$B$49,0)&gt;0,0),1,0)</f>
        <v>0</v>
      </c>
      <c r="AW10" s="22">
        <f>IFERROR(HLOOKUP(DAY(B10),Urlaub!$C$4:$AG$16,MONTH(B10)+1,FALSE),0)</f>
        <v>0</v>
      </c>
      <c r="AX10" s="38">
        <f t="shared" si="3"/>
        <v>0</v>
      </c>
      <c r="AY10" s="7">
        <f t="shared" si="4"/>
        <v>2.0833333333333301E-2</v>
      </c>
      <c r="AZ10" s="5">
        <f t="shared" si="5"/>
        <v>0</v>
      </c>
      <c r="BA10" s="39">
        <f t="shared" si="7"/>
        <v>0</v>
      </c>
      <c r="BB10" s="5">
        <f t="shared" si="6"/>
        <v>0.33333333333333331</v>
      </c>
    </row>
    <row r="11" spans="1:54" ht="18.75" x14ac:dyDescent="0.3">
      <c r="B11" s="43">
        <f t="shared" si="8"/>
        <v>41735</v>
      </c>
      <c r="C11" s="44">
        <f t="shared" si="9"/>
        <v>41735</v>
      </c>
      <c r="D11" s="3"/>
      <c r="E11" s="62"/>
      <c r="F11" s="62"/>
      <c r="G11" s="62"/>
      <c r="H11" s="62"/>
      <c r="I11" s="62" t="str">
        <f t="shared" ca="1" si="0"/>
        <v/>
      </c>
      <c r="J11" s="52">
        <f>IF(AND(Feiertage!$G$2&lt;&gt;"ja",AV11=1),IF(AZ11&gt;0,BB11+AZ11,BB11),IF(AZ11=0,0, IF(I11&lt;&gt;"",AZ11-I11,AZ11)))+AX11</f>
        <v>0</v>
      </c>
      <c r="K11" s="62">
        <f>IF(AV11=0,BB11,IF(Feiertage!$G$2="ja","00:00",BB11))</f>
        <v>0</v>
      </c>
      <c r="L11" s="52" t="str">
        <f t="shared" ca="1" si="1"/>
        <v/>
      </c>
      <c r="M11" s="50" t="str">
        <f>IF(AV11=1,AU11,IF(LOWER(AW11)=LOWER(Urlaub!$W$19),Urlaub!$S$19,
IF(LOWER(AW11)=LOWER(Urlaub!$W$20),Urlaub!$S$20,
IF(LOWER(AW11)=LOWER(Urlaub!$W$21),Urlaub!$S$21,
IF(LOWER(AW11)=LOWER(Urlaub!$W$22),Urlaub!$S$22,
IF(LOWER(AW11)=LOWER(Urlaub!$W$23),Urlaub!$S$23,
IF(LOWER(AW11)=LOWER(Urlaub!$W$24),Urlaub!$S$24,""))))))&amp;IF(AND(EXACT(LOWER(AW11),AW11),AW11&lt;&gt;0)," 1/2",""))</f>
        <v/>
      </c>
      <c r="N11" s="53">
        <f t="shared" si="2"/>
        <v>0</v>
      </c>
      <c r="O11" s="21"/>
      <c r="P11" s="79">
        <v>41644</v>
      </c>
      <c r="Q11" s="67">
        <v>0</v>
      </c>
      <c r="R11" s="63">
        <v>2.0833333333333301E-2</v>
      </c>
      <c r="S11" s="66"/>
      <c r="AU11" t="str">
        <f>IF(AV11=1,VLOOKUP($B11,Feiertage!$B$2:$D$49,3,FALSE),"")</f>
        <v/>
      </c>
      <c r="AV11">
        <f>IF(IFERROR(MATCH($B11,Feiertage!$B$2:$B$49,0)&gt;0,0),1,0)</f>
        <v>0</v>
      </c>
      <c r="AW11" s="22">
        <f>IFERROR(HLOOKUP(DAY(B11),Urlaub!$C$4:$AG$16,MONTH(B11)+1,FALSE),0)</f>
        <v>0</v>
      </c>
      <c r="AX11" s="38">
        <f t="shared" si="3"/>
        <v>0</v>
      </c>
      <c r="AY11" s="7">
        <f t="shared" si="4"/>
        <v>2.0833333333333301E-2</v>
      </c>
      <c r="AZ11" s="5">
        <f>IF(F11,IF(E11,IF(E11&gt;F11,F11+"24:00"-E11,F11-E11),0),0)+IF(G11,IF(G11,IF(G11&gt;H11,H11+"24:00"-G11,H11-G11),0),0)</f>
        <v>0</v>
      </c>
      <c r="BA11" s="39">
        <f t="shared" si="7"/>
        <v>0</v>
      </c>
      <c r="BB11" s="5">
        <f t="shared" si="6"/>
        <v>0</v>
      </c>
    </row>
    <row r="12" spans="1:54" ht="19.5" thickBot="1" x14ac:dyDescent="0.35">
      <c r="B12" s="43">
        <f t="shared" si="8"/>
        <v>41736</v>
      </c>
      <c r="C12" s="44">
        <f t="shared" si="9"/>
        <v>41736</v>
      </c>
      <c r="D12" s="3"/>
      <c r="E12" s="62"/>
      <c r="F12" s="62"/>
      <c r="G12" s="62"/>
      <c r="H12" s="62"/>
      <c r="I12" s="62" t="str">
        <f t="shared" ca="1" si="0"/>
        <v/>
      </c>
      <c r="J12" s="52">
        <f>IF(AND(Feiertage!$G$2&lt;&gt;"ja",AV12=1),IF(AZ12&gt;0,BB12+AZ12,BB12),IF(AZ12=0,0, IF(I12&lt;&gt;"",AZ12-I12,AZ12)))+AX12</f>
        <v>0</v>
      </c>
      <c r="K12" s="62">
        <f>IF(AV12=0,BB12,IF(Feiertage!$G$2="ja","00:00",BB12))</f>
        <v>0</v>
      </c>
      <c r="L12" s="52" t="str">
        <f t="shared" ca="1" si="1"/>
        <v/>
      </c>
      <c r="M12" s="50" t="str">
        <f>IF(AV12=1,AU12,IF(LOWER(AW12)=LOWER(Urlaub!$W$19),Urlaub!$S$19,
IF(LOWER(AW12)=LOWER(Urlaub!$W$20),Urlaub!$S$20,
IF(LOWER(AW12)=LOWER(Urlaub!$W$21),Urlaub!$S$21,
IF(LOWER(AW12)=LOWER(Urlaub!$W$22),Urlaub!$S$22,
IF(LOWER(AW12)=LOWER(Urlaub!$W$23),Urlaub!$S$23,
IF(LOWER(AW12)=LOWER(Urlaub!$W$24),Urlaub!$S$24,""))))))&amp;IF(AND(EXACT(LOWER(AW12),AW12),AW12&lt;&gt;0)," 1/2",""))</f>
        <v/>
      </c>
      <c r="N12" s="53">
        <f t="shared" si="2"/>
        <v>0</v>
      </c>
      <c r="P12" s="80">
        <v>41645</v>
      </c>
      <c r="Q12" s="68">
        <v>0</v>
      </c>
      <c r="R12" s="110">
        <v>2.0833333333333301E-2</v>
      </c>
      <c r="S12" s="69"/>
      <c r="AU12" t="str">
        <f>IF(AV12=1,VLOOKUP($B12,Feiertage!$B$2:$D$49,3,FALSE),"")</f>
        <v/>
      </c>
      <c r="AV12">
        <f>IF(IFERROR(MATCH($B12,Feiertage!$B$2:$B$49,0)&gt;0,0),1,0)</f>
        <v>0</v>
      </c>
      <c r="AW12" s="22">
        <f>IFERROR(HLOOKUP(DAY(B12),Urlaub!$C$4:$AG$16,MONTH(B12)+1,FALSE),0)</f>
        <v>0</v>
      </c>
      <c r="AX12" s="38">
        <f t="shared" si="3"/>
        <v>0</v>
      </c>
      <c r="AY12" s="7">
        <f t="shared" si="4"/>
        <v>2.0833333333333301E-2</v>
      </c>
      <c r="AZ12" s="5">
        <f>IF(F12,IF(E12,IF(E12&gt;F12,F12+"24:00"-E12,F12-E12),0),0)+IF(G12,IF(G12,IF(G12&gt;H12,H12+"24:00"-G12,H12-G12),0),0)</f>
        <v>0</v>
      </c>
      <c r="BA12" s="39">
        <f t="shared" si="7"/>
        <v>0</v>
      </c>
      <c r="BB12" s="5">
        <f t="shared" si="6"/>
        <v>0</v>
      </c>
    </row>
    <row r="13" spans="1:54" ht="19.5" thickBot="1" x14ac:dyDescent="0.35">
      <c r="B13" s="43">
        <f t="shared" si="8"/>
        <v>41737</v>
      </c>
      <c r="C13" s="44">
        <f t="shared" si="9"/>
        <v>41737</v>
      </c>
      <c r="D13" s="3"/>
      <c r="E13" s="62"/>
      <c r="F13" s="62"/>
      <c r="G13" s="62"/>
      <c r="H13" s="62"/>
      <c r="I13" s="62" t="str">
        <f t="shared" ca="1" si="0"/>
        <v/>
      </c>
      <c r="J13" s="52">
        <f>IF(AND(Feiertage!$G$2&lt;&gt;"ja",AV13=1),IF(AZ13&gt;0,BB13+AZ13,BB13),IF(AZ13=0,0, IF(I13&lt;&gt;"",AZ13-I13,AZ13)))+AX13</f>
        <v>0</v>
      </c>
      <c r="K13" s="62">
        <f>IF(AV13=0,BB13,IF(Feiertage!$G$2="ja","00:00",BB13))</f>
        <v>0.33333333333333331</v>
      </c>
      <c r="L13" s="52">
        <f t="shared" ca="1" si="1"/>
        <v>-0.33333333333333331</v>
      </c>
      <c r="M13" s="50" t="str">
        <f>IF(AV13=1,AU13,IF(LOWER(AW13)=LOWER(Urlaub!$W$19),Urlaub!$S$19,
IF(LOWER(AW13)=LOWER(Urlaub!$W$20),Urlaub!$S$20,
IF(LOWER(AW13)=LOWER(Urlaub!$W$21),Urlaub!$S$21,
IF(LOWER(AW13)=LOWER(Urlaub!$W$22),Urlaub!$S$22,
IF(LOWER(AW13)=LOWER(Urlaub!$W$23),Urlaub!$S$23,
IF(LOWER(AW13)=LOWER(Urlaub!$W$24),Urlaub!$S$24,""))))))&amp;IF(AND(EXACT(LOWER(AW13),AW13),AW13&lt;&gt;0)," 1/2",""))</f>
        <v/>
      </c>
      <c r="N13" s="53">
        <f t="shared" si="2"/>
        <v>0</v>
      </c>
      <c r="P13" s="56" t="s">
        <v>9</v>
      </c>
      <c r="Q13" s="57">
        <f>SUM(Q6:Q12)</f>
        <v>1.6666666666666665</v>
      </c>
      <c r="R13" s="4"/>
      <c r="Y13" s="7"/>
      <c r="AU13" t="str">
        <f>IF(AV13=1,VLOOKUP($B13,Feiertage!$B$2:$D$49,3,FALSE),"")</f>
        <v/>
      </c>
      <c r="AV13">
        <f>IF(IFERROR(MATCH($B13,Feiertage!$B$2:$B$49,0)&gt;0,0),1,0)</f>
        <v>0</v>
      </c>
      <c r="AW13" s="22">
        <f>IFERROR(HLOOKUP(DAY(B13),Urlaub!$C$4:$AG$16,MONTH(B13)+1,FALSE),0)</f>
        <v>0</v>
      </c>
      <c r="AX13" s="38">
        <f t="shared" si="3"/>
        <v>0</v>
      </c>
      <c r="AY13" s="7">
        <f t="shared" si="4"/>
        <v>2.0833333333333332E-2</v>
      </c>
      <c r="AZ13" s="5">
        <f t="shared" si="5"/>
        <v>0</v>
      </c>
      <c r="BA13" s="39">
        <f t="shared" si="7"/>
        <v>0</v>
      </c>
      <c r="BB13" s="5">
        <f t="shared" si="6"/>
        <v>0.33333333333333331</v>
      </c>
    </row>
    <row r="14" spans="1:54" ht="18.75" x14ac:dyDescent="0.3">
      <c r="B14" s="43">
        <f t="shared" si="8"/>
        <v>41738</v>
      </c>
      <c r="C14" s="44">
        <f t="shared" si="9"/>
        <v>41738</v>
      </c>
      <c r="D14" s="3"/>
      <c r="E14" s="62"/>
      <c r="F14" s="62"/>
      <c r="G14" s="62"/>
      <c r="H14" s="62"/>
      <c r="I14" s="62" t="str">
        <f t="shared" ca="1" si="0"/>
        <v/>
      </c>
      <c r="J14" s="52">
        <f>IF(AND(Feiertage!$G$2&lt;&gt;"ja",AV14=1),IF(AZ14&gt;0,BB14+AZ14,BB14),IF(AZ14=0,0, IF(I14&lt;&gt;"",AZ14-I14,AZ14)))+AX14</f>
        <v>0</v>
      </c>
      <c r="K14" s="62">
        <f>IF(AV14=0,BB14,IF(Feiertage!$G$2="ja","00:00",BB14))</f>
        <v>0.33333333333333331</v>
      </c>
      <c r="L14" s="52">
        <f t="shared" ca="1" si="1"/>
        <v>-0.33333333333333331</v>
      </c>
      <c r="M14" s="50" t="str">
        <f>IF(AV14=1,AU14,IF(LOWER(AW14)=LOWER(Urlaub!$W$19),Urlaub!$S$19,
IF(LOWER(AW14)=LOWER(Urlaub!$W$20),Urlaub!$S$20,
IF(LOWER(AW14)=LOWER(Urlaub!$W$21),Urlaub!$S$21,
IF(LOWER(AW14)=LOWER(Urlaub!$W$22),Urlaub!$S$22,
IF(LOWER(AW14)=LOWER(Urlaub!$W$23),Urlaub!$S$23,
IF(LOWER(AW14)=LOWER(Urlaub!$W$24),Urlaub!$S$24,""))))))&amp;IF(AND(EXACT(LOWER(AW14),AW14),AW14&lt;&gt;0)," 1/2",""))</f>
        <v/>
      </c>
      <c r="N14" s="53">
        <f t="shared" si="2"/>
        <v>0</v>
      </c>
      <c r="O14" s="6"/>
      <c r="AU14" t="str">
        <f>IF(AV14=1,VLOOKUP($B14,Feiertage!$B$2:$D$49,3,FALSE),"")</f>
        <v/>
      </c>
      <c r="AV14">
        <f>IF(IFERROR(MATCH($B14,Feiertage!$B$2:$B$49,0)&gt;0,0),1,0)</f>
        <v>0</v>
      </c>
      <c r="AW14" s="22">
        <f>IFERROR(HLOOKUP(DAY(B14),Urlaub!$C$4:$AG$16,MONTH(B14)+1,FALSE),0)</f>
        <v>0</v>
      </c>
      <c r="AX14" s="38">
        <f t="shared" si="3"/>
        <v>0</v>
      </c>
      <c r="AY14" s="7">
        <f t="shared" si="4"/>
        <v>2.0833333333333332E-2</v>
      </c>
      <c r="AZ14" s="5">
        <f t="shared" si="5"/>
        <v>0</v>
      </c>
      <c r="BA14" s="39">
        <f t="shared" si="7"/>
        <v>0</v>
      </c>
      <c r="BB14" s="5">
        <f t="shared" si="6"/>
        <v>0.33333333333333331</v>
      </c>
    </row>
    <row r="15" spans="1:54" ht="19.5" thickBot="1" x14ac:dyDescent="0.35">
      <c r="B15" s="43">
        <f t="shared" si="8"/>
        <v>41739</v>
      </c>
      <c r="C15" s="44">
        <f t="shared" si="9"/>
        <v>41739</v>
      </c>
      <c r="D15" s="3"/>
      <c r="E15" s="62"/>
      <c r="F15" s="62"/>
      <c r="G15" s="62"/>
      <c r="H15" s="62"/>
      <c r="I15" s="62" t="str">
        <f t="shared" ca="1" si="0"/>
        <v/>
      </c>
      <c r="J15" s="52">
        <f>IF(AND(Feiertage!$G$2&lt;&gt;"ja",AV15=1),IF(AZ15&gt;0,BB15+AZ15,BB15),IF(AZ15=0,0, IF(I15&lt;&gt;"",AZ15-I15,AZ15)))+AX15</f>
        <v>0</v>
      </c>
      <c r="K15" s="62">
        <f>IF(AV15=0,BB15,IF(Feiertage!$G$2="ja","00:00",BB15))</f>
        <v>0.33333333333333331</v>
      </c>
      <c r="L15" s="52">
        <f t="shared" ca="1" si="1"/>
        <v>-0.33333333333333331</v>
      </c>
      <c r="M15" s="50" t="str">
        <f>IF(AV15=1,AU15,IF(LOWER(AW15)=LOWER(Urlaub!$W$19),Urlaub!$S$19,
IF(LOWER(AW15)=LOWER(Urlaub!$W$20),Urlaub!$S$20,
IF(LOWER(AW15)=LOWER(Urlaub!$W$21),Urlaub!$S$21,
IF(LOWER(AW15)=LOWER(Urlaub!$W$22),Urlaub!$S$22,
IF(LOWER(AW15)=LOWER(Urlaub!$W$23),Urlaub!$S$23,
IF(LOWER(AW15)=LOWER(Urlaub!$W$24),Urlaub!$S$24,""))))))&amp;IF(AND(EXACT(LOWER(AW15),AW15),AW15&lt;&gt;0)," 1/2",""))</f>
        <v/>
      </c>
      <c r="N15" s="53">
        <f t="shared" si="2"/>
        <v>0</v>
      </c>
      <c r="P15" s="153" t="s">
        <v>86</v>
      </c>
      <c r="Q15" s="154"/>
      <c r="R15" s="154"/>
      <c r="S15" s="154"/>
      <c r="T15" s="154"/>
      <c r="U15" s="154"/>
      <c r="V15" s="154"/>
      <c r="AU15" t="str">
        <f>IF(AV15=1,VLOOKUP($B15,Feiertage!$B$2:$D$49,3,FALSE),"")</f>
        <v/>
      </c>
      <c r="AV15">
        <f>IF(IFERROR(MATCH($B15,Feiertage!$B$2:$B$49,0)&gt;0,0),1,0)</f>
        <v>0</v>
      </c>
      <c r="AW15" s="22">
        <f>IFERROR(HLOOKUP(DAY(B15),Urlaub!$C$4:$AG$16,MONTH(B15)+1,FALSE),0)</f>
        <v>0</v>
      </c>
      <c r="AX15" s="38">
        <f t="shared" si="3"/>
        <v>0</v>
      </c>
      <c r="AY15" s="7">
        <f t="shared" si="4"/>
        <v>2.0833333333333301E-2</v>
      </c>
      <c r="AZ15" s="5">
        <f t="shared" si="5"/>
        <v>0</v>
      </c>
      <c r="BA15" s="39">
        <f t="shared" si="7"/>
        <v>0</v>
      </c>
      <c r="BB15" s="5">
        <f t="shared" si="6"/>
        <v>0.33333333333333331</v>
      </c>
    </row>
    <row r="16" spans="1:54" ht="18.75" x14ac:dyDescent="0.3">
      <c r="B16" s="43">
        <f t="shared" si="8"/>
        <v>41740</v>
      </c>
      <c r="C16" s="44">
        <f t="shared" si="9"/>
        <v>41740</v>
      </c>
      <c r="D16" s="3"/>
      <c r="E16" s="62"/>
      <c r="F16" s="62"/>
      <c r="G16" s="62"/>
      <c r="H16" s="62"/>
      <c r="I16" s="62" t="str">
        <f t="shared" ca="1" si="0"/>
        <v/>
      </c>
      <c r="J16" s="52">
        <f>IF(AND(Feiertage!$G$2&lt;&gt;"ja",AV16=1),IF(AZ16&gt;0,BB16+AZ16,BB16),IF(AZ16=0,0, IF(I16&lt;&gt;"",AZ16-I16,AZ16)))+AX16</f>
        <v>0</v>
      </c>
      <c r="K16" s="62">
        <f>IF(AV16=0,BB16,IF(Feiertage!$G$2="ja","00:00",BB16))</f>
        <v>0.33333333333333331</v>
      </c>
      <c r="L16" s="52">
        <f t="shared" ca="1" si="1"/>
        <v>-0.33333333333333331</v>
      </c>
      <c r="M16" s="50" t="str">
        <f>IF(AV16=1,AU16,IF(LOWER(AW16)=LOWER(Urlaub!$W$19),Urlaub!$S$19,
IF(LOWER(AW16)=LOWER(Urlaub!$W$20),Urlaub!$S$20,
IF(LOWER(AW16)=LOWER(Urlaub!$W$21),Urlaub!$S$21,
IF(LOWER(AW16)=LOWER(Urlaub!$W$22),Urlaub!$S$22,
IF(LOWER(AW16)=LOWER(Urlaub!$W$23),Urlaub!$S$23,
IF(LOWER(AW16)=LOWER(Urlaub!$W$24),Urlaub!$S$24,""))))))&amp;IF(AND(EXACT(LOWER(AW16),AW16),AW16&lt;&gt;0)," 1/2",""))</f>
        <v/>
      </c>
      <c r="N16" s="53">
        <f t="shared" si="2"/>
        <v>0</v>
      </c>
      <c r="P16" s="155"/>
      <c r="Q16" s="156"/>
      <c r="R16" s="156"/>
      <c r="S16" s="156"/>
      <c r="T16" s="156"/>
      <c r="U16" s="156"/>
      <c r="V16" s="157"/>
      <c r="AU16" t="str">
        <f>IF(AV16=1,VLOOKUP($B16,Feiertage!$B$2:$D$49,3,FALSE),"")</f>
        <v/>
      </c>
      <c r="AV16">
        <f>IF(IFERROR(MATCH($B16,Feiertage!$B$2:$B$49,0)&gt;0,0),1,0)</f>
        <v>0</v>
      </c>
      <c r="AW16" s="22">
        <f>IFERROR(HLOOKUP(DAY(B16),Urlaub!$C$4:$AG$16,MONTH(B16)+1,FALSE),0)</f>
        <v>0</v>
      </c>
      <c r="AX16" s="38">
        <f t="shared" si="3"/>
        <v>0</v>
      </c>
      <c r="AY16" s="7">
        <f t="shared" si="4"/>
        <v>2.0833333333333301E-2</v>
      </c>
      <c r="AZ16" s="5">
        <f t="shared" si="5"/>
        <v>0</v>
      </c>
      <c r="BA16" s="39">
        <f t="shared" si="7"/>
        <v>0</v>
      </c>
      <c r="BB16" s="5">
        <f t="shared" si="6"/>
        <v>0.33333333333333331</v>
      </c>
    </row>
    <row r="17" spans="2:54" ht="18.75" x14ac:dyDescent="0.3">
      <c r="B17" s="43">
        <f t="shared" si="8"/>
        <v>41741</v>
      </c>
      <c r="C17" s="44">
        <f t="shared" si="9"/>
        <v>41741</v>
      </c>
      <c r="D17" s="3"/>
      <c r="E17" s="62"/>
      <c r="F17" s="62"/>
      <c r="G17" s="62"/>
      <c r="H17" s="62"/>
      <c r="I17" s="62" t="str">
        <f t="shared" ca="1" si="0"/>
        <v/>
      </c>
      <c r="J17" s="52">
        <f>IF(AND(Feiertage!$G$2&lt;&gt;"ja",AV17=1),IF(AZ17&gt;0,BB17+AZ17,BB17),IF(AZ17=0,0, IF(I17&lt;&gt;"",AZ17-I17,AZ17)))+AX17</f>
        <v>0</v>
      </c>
      <c r="K17" s="62">
        <f>IF(AV17=0,BB17,IF(Feiertage!$G$2="ja","00:00",BB17))</f>
        <v>0.33333333333333331</v>
      </c>
      <c r="L17" s="52">
        <f t="shared" ca="1" si="1"/>
        <v>-0.33333333333333331</v>
      </c>
      <c r="M17" s="50" t="str">
        <f>IF(AV17=1,AU17,IF(LOWER(AW17)=LOWER(Urlaub!$W$19),Urlaub!$S$19,
IF(LOWER(AW17)=LOWER(Urlaub!$W$20),Urlaub!$S$20,
IF(LOWER(AW17)=LOWER(Urlaub!$W$21),Urlaub!$S$21,
IF(LOWER(AW17)=LOWER(Urlaub!$W$22),Urlaub!$S$22,
IF(LOWER(AW17)=LOWER(Urlaub!$W$23),Urlaub!$S$23,
IF(LOWER(AW17)=LOWER(Urlaub!$W$24),Urlaub!$S$24,""))))))&amp;IF(AND(EXACT(LOWER(AW17),AW17),AW17&lt;&gt;0)," 1/2",""))</f>
        <v/>
      </c>
      <c r="N17" s="53">
        <f t="shared" si="2"/>
        <v>0</v>
      </c>
      <c r="P17" s="158"/>
      <c r="Q17" s="159"/>
      <c r="R17" s="159"/>
      <c r="S17" s="159"/>
      <c r="T17" s="159"/>
      <c r="U17" s="159"/>
      <c r="V17" s="160"/>
      <c r="AU17" t="str">
        <f>IF(AV17=1,VLOOKUP($B17,Feiertage!$B$2:$D$49,3,FALSE),"")</f>
        <v/>
      </c>
      <c r="AV17">
        <f>IF(IFERROR(MATCH($B17,Feiertage!$B$2:$B$49,0)&gt;0,0),1,0)</f>
        <v>0</v>
      </c>
      <c r="AW17" s="22">
        <f>IFERROR(HLOOKUP(DAY(B17),Urlaub!$C$4:$AG$16,MONTH(B17)+1,FALSE),0)</f>
        <v>0</v>
      </c>
      <c r="AX17" s="38">
        <f t="shared" ref="AX17:AX35" si="10">IFERROR(IF(OR(AW17=0,AW17="G"),0,IF(EXACT(LOWER(AW17),AW17),0.5*BB17,BB17)),"")</f>
        <v>0</v>
      </c>
      <c r="AY17" s="7">
        <f t="shared" si="4"/>
        <v>2.0833333333333301E-2</v>
      </c>
      <c r="AZ17" s="5">
        <f t="shared" si="5"/>
        <v>0</v>
      </c>
      <c r="BA17" s="39">
        <f t="shared" si="7"/>
        <v>0</v>
      </c>
      <c r="BB17" s="5">
        <f t="shared" si="6"/>
        <v>0.33333333333333331</v>
      </c>
    </row>
    <row r="18" spans="2:54" ht="19.5" thickBot="1" x14ac:dyDescent="0.35">
      <c r="B18" s="43">
        <f t="shared" si="8"/>
        <v>41742</v>
      </c>
      <c r="C18" s="44">
        <f t="shared" si="9"/>
        <v>41742</v>
      </c>
      <c r="D18" s="3"/>
      <c r="E18" s="62"/>
      <c r="F18" s="62"/>
      <c r="G18" s="62"/>
      <c r="H18" s="62"/>
      <c r="I18" s="62" t="str">
        <f t="shared" ca="1" si="0"/>
        <v/>
      </c>
      <c r="J18" s="52">
        <f>IF(AND(Feiertage!$G$2&lt;&gt;"ja",AV18=1),IF(AZ18&gt;0,BB18+AZ18,BB18),IF(AZ18=0,0, IF(I18&lt;&gt;"",AZ18-I18,AZ18)))+AX18</f>
        <v>0</v>
      </c>
      <c r="K18" s="62">
        <f>IF(AV18=0,BB18,IF(Feiertage!$G$2="ja","00:00",BB18))</f>
        <v>0</v>
      </c>
      <c r="L18" s="52" t="str">
        <f t="shared" ca="1" si="1"/>
        <v/>
      </c>
      <c r="M18" s="50" t="str">
        <f>IF(AV18=1,AU18,IF(LOWER(AW18)=LOWER(Urlaub!$W$19),Urlaub!$S$19,
IF(LOWER(AW18)=LOWER(Urlaub!$W$20),Urlaub!$S$20,
IF(LOWER(AW18)=LOWER(Urlaub!$W$21),Urlaub!$S$21,
IF(LOWER(AW18)=LOWER(Urlaub!$W$22),Urlaub!$S$22,
IF(LOWER(AW18)=LOWER(Urlaub!$W$23),Urlaub!$S$23,
IF(LOWER(AW18)=LOWER(Urlaub!$W$24),Urlaub!$S$24,""))))))&amp;IF(AND(EXACT(LOWER(AW18),AW18),AW18&lt;&gt;0)," 1/2",""))</f>
        <v/>
      </c>
      <c r="N18" s="53">
        <f t="shared" si="2"/>
        <v>0</v>
      </c>
      <c r="P18" s="161"/>
      <c r="Q18" s="162"/>
      <c r="R18" s="162"/>
      <c r="S18" s="162"/>
      <c r="T18" s="162"/>
      <c r="U18" s="162"/>
      <c r="V18" s="163"/>
      <c r="AU18" t="str">
        <f>IF(AV18=1,VLOOKUP($B18,Feiertage!$B$2:$D$49,3,FALSE),"")</f>
        <v/>
      </c>
      <c r="AV18">
        <f>IF(IFERROR(MATCH($B18,Feiertage!$B$2:$B$49,0)&gt;0,0),1,0)</f>
        <v>0</v>
      </c>
      <c r="AW18" s="22">
        <f>IFERROR(HLOOKUP(DAY(B18),Urlaub!$C$4:$AG$16,MONTH(B18)+1,FALSE),0)</f>
        <v>0</v>
      </c>
      <c r="AX18" s="38">
        <f t="shared" si="10"/>
        <v>0</v>
      </c>
      <c r="AY18" s="7">
        <f t="shared" si="4"/>
        <v>2.0833333333333301E-2</v>
      </c>
      <c r="AZ18" s="5">
        <f t="shared" si="5"/>
        <v>0</v>
      </c>
      <c r="BA18" s="39">
        <f t="shared" si="7"/>
        <v>0</v>
      </c>
      <c r="BB18" s="5">
        <f t="shared" si="6"/>
        <v>0</v>
      </c>
    </row>
    <row r="19" spans="2:54" ht="18.75" x14ac:dyDescent="0.3">
      <c r="B19" s="43">
        <f t="shared" si="8"/>
        <v>41743</v>
      </c>
      <c r="C19" s="44">
        <f t="shared" si="9"/>
        <v>41743</v>
      </c>
      <c r="D19" s="3"/>
      <c r="E19" s="62"/>
      <c r="F19" s="62"/>
      <c r="G19" s="62"/>
      <c r="H19" s="62"/>
      <c r="I19" s="62" t="str">
        <f t="shared" ca="1" si="0"/>
        <v/>
      </c>
      <c r="J19" s="52">
        <f>IF(AND(Feiertage!$G$2&lt;&gt;"ja",AV19=1),IF(AZ19&gt;0,BB19+AZ19,BB19),IF(AZ19=0,0, IF(I19&lt;&gt;"",AZ19-I19,AZ19)))+AX19</f>
        <v>0</v>
      </c>
      <c r="K19" s="62">
        <f>IF(AV19=0,BB19,IF(Feiertage!$G$2="ja","00:00",BB19))</f>
        <v>0</v>
      </c>
      <c r="L19" s="52" t="str">
        <f ca="1">IF(OR(B19&lt;=TODAY(),J19,AW19="G"),IF(J19&lt;&gt;"",IF(J19-K19=0,"",J19-K19),IF(K19&lt;&gt;"",-K19,"")),"")</f>
        <v/>
      </c>
      <c r="M19" s="50" t="str">
        <f>IF(AV19=1,AU19,IF(LOWER(AW19)=LOWER(Urlaub!$W$19),Urlaub!$S$19,
IF(LOWER(AW19)=LOWER(Urlaub!$W$20),Urlaub!$S$20,
IF(LOWER(AW19)=LOWER(Urlaub!$W$21),Urlaub!$S$21,
IF(LOWER(AW19)=LOWER(Urlaub!$W$22),Urlaub!$S$22,
IF(LOWER(AW19)=LOWER(Urlaub!$W$23),Urlaub!$S$23,
IF(LOWER(AW19)=LOWER(Urlaub!$W$24),Urlaub!$S$24,""))))))&amp;IF(AND(EXACT(LOWER(AW19),AW19),AW19&lt;&gt;0)," 1/2",""))</f>
        <v/>
      </c>
      <c r="N19" s="53">
        <f t="shared" si="2"/>
        <v>0</v>
      </c>
      <c r="AU19" t="str">
        <f>IF(AV19=1,VLOOKUP($B19,Feiertage!$B$2:$D$49,3,FALSE),"")</f>
        <v/>
      </c>
      <c r="AV19">
        <f>IF(IFERROR(MATCH($B19,Feiertage!$B$2:$B$49,0)&gt;0,0),1,0)</f>
        <v>0</v>
      </c>
      <c r="AW19" s="22">
        <f>IFERROR(HLOOKUP(DAY(B19),Urlaub!$C$4:$AG$16,MONTH(B19)+1,FALSE),0)</f>
        <v>0</v>
      </c>
      <c r="AX19" s="38">
        <f>IFERROR(IF(OR(AW19=0,AW19="G"),0,IF(EXACT(LOWER(AW19),AW19),0.5*BB19,BB19)),"")</f>
        <v>0</v>
      </c>
      <c r="AY19" s="7">
        <f t="shared" si="4"/>
        <v>2.0833333333333301E-2</v>
      </c>
      <c r="AZ19" s="5">
        <f t="shared" si="5"/>
        <v>0</v>
      </c>
      <c r="BA19" s="39">
        <f t="shared" si="7"/>
        <v>0</v>
      </c>
      <c r="BB19" s="5">
        <f t="shared" si="6"/>
        <v>0</v>
      </c>
    </row>
    <row r="20" spans="2:54" ht="18.75" x14ac:dyDescent="0.3">
      <c r="B20" s="43">
        <f t="shared" si="8"/>
        <v>41744</v>
      </c>
      <c r="C20" s="44">
        <f t="shared" si="9"/>
        <v>41744</v>
      </c>
      <c r="D20" s="3"/>
      <c r="E20" s="62"/>
      <c r="F20" s="62"/>
      <c r="G20" s="62"/>
      <c r="H20" s="62"/>
      <c r="I20" s="62" t="str">
        <f t="shared" ca="1" si="0"/>
        <v/>
      </c>
      <c r="J20" s="52">
        <f>IF(AND(Feiertage!$G$2&lt;&gt;"ja",AV20=1),IF(AZ20&gt;0,BB20+AZ20,BB20),IF(AZ20=0,0, IF(I20&lt;&gt;"",AZ20-I20,AZ20)))+AX20</f>
        <v>0</v>
      </c>
      <c r="K20" s="62">
        <f>IF(AV20=0,BB20,IF(Feiertage!$G$2="ja","00:00",BB20))</f>
        <v>0.33333333333333331</v>
      </c>
      <c r="L20" s="52">
        <f t="shared" ref="L20:L35" ca="1" si="11">IF(OR(B20&lt;=TODAY(),J20,AW20="G"),IF(J20&lt;&gt;"",IF(J20-K20=0,"",J20-K20),IF(K20&lt;&gt;"",-K20,"")),"")</f>
        <v>-0.33333333333333331</v>
      </c>
      <c r="M20" s="50" t="str">
        <f>IF(AV20=1,AU20,IF(LOWER(AW20)=LOWER(Urlaub!$W$19),Urlaub!$S$19,
IF(LOWER(AW20)=LOWER(Urlaub!$W$20),Urlaub!$S$20,
IF(LOWER(AW20)=LOWER(Urlaub!$W$21),Urlaub!$S$21,
IF(LOWER(AW20)=LOWER(Urlaub!$W$22),Urlaub!$S$22,
IF(LOWER(AW20)=LOWER(Urlaub!$W$23),Urlaub!$S$23,
IF(LOWER(AW20)=LOWER(Urlaub!$W$24),Urlaub!$S$24,""))))))&amp;IF(AND(EXACT(LOWER(AW20),AW20),AW20&lt;&gt;0)," 1/2",""))</f>
        <v/>
      </c>
      <c r="N20" s="53">
        <f t="shared" si="2"/>
        <v>0</v>
      </c>
      <c r="AU20" t="str">
        <f>IF(AV20=1,VLOOKUP($B20,Feiertage!$B$2:$D$49,3,FALSE),"")</f>
        <v/>
      </c>
      <c r="AV20">
        <f>IF(IFERROR(MATCH($B20,Feiertage!$B$2:$B$49,0)&gt;0,0),1,0)</f>
        <v>0</v>
      </c>
      <c r="AW20" s="22">
        <f>IFERROR(HLOOKUP(DAY(B20),Urlaub!$C$4:$AG$16,MONTH(B20)+1,FALSE),0)</f>
        <v>0</v>
      </c>
      <c r="AX20" s="38">
        <f t="shared" si="10"/>
        <v>0</v>
      </c>
      <c r="AY20" s="7">
        <f t="shared" si="4"/>
        <v>2.0833333333333332E-2</v>
      </c>
      <c r="AZ20" s="5">
        <f t="shared" si="5"/>
        <v>0</v>
      </c>
      <c r="BA20" s="39">
        <f t="shared" si="7"/>
        <v>0</v>
      </c>
      <c r="BB20" s="5">
        <f t="shared" si="6"/>
        <v>0.33333333333333331</v>
      </c>
    </row>
    <row r="21" spans="2:54" ht="18.75" x14ac:dyDescent="0.3">
      <c r="B21" s="43">
        <f t="shared" si="8"/>
        <v>41745</v>
      </c>
      <c r="C21" s="44">
        <f t="shared" si="9"/>
        <v>41745</v>
      </c>
      <c r="D21" s="3"/>
      <c r="E21" s="62"/>
      <c r="F21" s="62"/>
      <c r="G21" s="62"/>
      <c r="H21" s="62"/>
      <c r="I21" s="62" t="str">
        <f t="shared" ca="1" si="0"/>
        <v/>
      </c>
      <c r="J21" s="52">
        <f>IF(AND(Feiertage!$G$2&lt;&gt;"ja",AV21=1),IF(AZ21&gt;0,BB21+AZ21,BB21),IF(AZ21=0,0, IF(I21&lt;&gt;"",AZ21-I21,AZ21)))+AX21</f>
        <v>0</v>
      </c>
      <c r="K21" s="62">
        <f>IF(AV21=0,BB21,IF(Feiertage!$G$2="ja","00:00",BB21))</f>
        <v>0.33333333333333331</v>
      </c>
      <c r="L21" s="52">
        <f t="shared" ca="1" si="11"/>
        <v>-0.33333333333333331</v>
      </c>
      <c r="M21" s="50" t="str">
        <f>IF(AV21=1,AU21,IF(LOWER(AW21)=LOWER(Urlaub!$W$19),Urlaub!$S$19,
IF(LOWER(AW21)=LOWER(Urlaub!$W$20),Urlaub!$S$20,
IF(LOWER(AW21)=LOWER(Urlaub!$W$21),Urlaub!$S$21,
IF(LOWER(AW21)=LOWER(Urlaub!$W$22),Urlaub!$S$22,
IF(LOWER(AW21)=LOWER(Urlaub!$W$23),Urlaub!$S$23,
IF(LOWER(AW21)=LOWER(Urlaub!$W$24),Urlaub!$S$24,""))))))&amp;IF(AND(EXACT(LOWER(AW21),AW21),AW21&lt;&gt;0)," 1/2",""))</f>
        <v/>
      </c>
      <c r="N21" s="53">
        <f t="shared" si="2"/>
        <v>0</v>
      </c>
      <c r="AU21" t="str">
        <f>IF(AV21=1,VLOOKUP($B21,Feiertage!$B$2:$D$49,3,FALSE),"")</f>
        <v/>
      </c>
      <c r="AV21">
        <f>IF(IFERROR(MATCH($B21,Feiertage!$B$2:$B$49,0)&gt;0,0),1,0)</f>
        <v>0</v>
      </c>
      <c r="AW21" s="22">
        <f>IFERROR(HLOOKUP(DAY(B21),Urlaub!$C$4:$AG$16,MONTH(B21)+1,FALSE),0)</f>
        <v>0</v>
      </c>
      <c r="AX21" s="38">
        <f t="shared" si="10"/>
        <v>0</v>
      </c>
      <c r="AY21" s="7">
        <f t="shared" si="4"/>
        <v>2.0833333333333332E-2</v>
      </c>
      <c r="AZ21" s="5">
        <f t="shared" si="5"/>
        <v>0</v>
      </c>
      <c r="BA21" s="39">
        <f t="shared" si="7"/>
        <v>0</v>
      </c>
      <c r="BB21" s="5">
        <f t="shared" si="6"/>
        <v>0.33333333333333331</v>
      </c>
    </row>
    <row r="22" spans="2:54" ht="18.75" x14ac:dyDescent="0.3">
      <c r="B22" s="43">
        <f t="shared" si="8"/>
        <v>41746</v>
      </c>
      <c r="C22" s="44">
        <f t="shared" si="9"/>
        <v>41746</v>
      </c>
      <c r="D22" s="3"/>
      <c r="E22" s="62"/>
      <c r="F22" s="62"/>
      <c r="G22" s="62"/>
      <c r="H22" s="62"/>
      <c r="I22" s="62" t="str">
        <f t="shared" ca="1" si="0"/>
        <v/>
      </c>
      <c r="J22" s="52">
        <f>IF(AND(Feiertage!$G$2&lt;&gt;"ja",AV22=1),IF(AZ22&gt;0,BB22+AZ22,BB22),IF(AZ22=0,0, IF(I22&lt;&gt;"",AZ22-I22,AZ22)))+AX22</f>
        <v>0</v>
      </c>
      <c r="K22" s="62">
        <f>IF(AV22=0,BB22,IF(Feiertage!$G$2="ja","00:00",BB22))</f>
        <v>0.33333333333333331</v>
      </c>
      <c r="L22" s="52">
        <f t="shared" ca="1" si="11"/>
        <v>-0.33333333333333331</v>
      </c>
      <c r="M22" s="50" t="str">
        <f>IF(AV22=1,AU22,IF(LOWER(AW22)=LOWER(Urlaub!$W$19),Urlaub!$S$19,
IF(LOWER(AW22)=LOWER(Urlaub!$W$20),Urlaub!$S$20,
IF(LOWER(AW22)=LOWER(Urlaub!$W$21),Urlaub!$S$21,
IF(LOWER(AW22)=LOWER(Urlaub!$W$22),Urlaub!$S$22,
IF(LOWER(AW22)=LOWER(Urlaub!$W$23),Urlaub!$S$23,
IF(LOWER(AW22)=LOWER(Urlaub!$W$24),Urlaub!$S$24,""))))))&amp;IF(AND(EXACT(LOWER(AW22),AW22),AW22&lt;&gt;0)," 1/2",""))</f>
        <v/>
      </c>
      <c r="N22" s="53">
        <f t="shared" si="2"/>
        <v>0</v>
      </c>
      <c r="AU22" t="str">
        <f>IF(AV22=1,VLOOKUP($B22,Feiertage!$B$2:$D$49,3,FALSE),"")</f>
        <v/>
      </c>
      <c r="AV22">
        <f>IF(IFERROR(MATCH($B22,Feiertage!$B$2:$B$49,0)&gt;0,0),1,0)</f>
        <v>0</v>
      </c>
      <c r="AW22" s="22">
        <f>IFERROR(HLOOKUP(DAY(B22),Urlaub!$C$4:$AG$16,MONTH(B22)+1,FALSE),0)</f>
        <v>0</v>
      </c>
      <c r="AX22" s="38">
        <f t="shared" si="10"/>
        <v>0</v>
      </c>
      <c r="AY22" s="7">
        <f t="shared" si="4"/>
        <v>2.0833333333333301E-2</v>
      </c>
      <c r="AZ22" s="5">
        <f t="shared" si="5"/>
        <v>0</v>
      </c>
      <c r="BA22" s="39">
        <f t="shared" si="7"/>
        <v>0</v>
      </c>
      <c r="BB22" s="5">
        <f t="shared" si="6"/>
        <v>0.33333333333333331</v>
      </c>
    </row>
    <row r="23" spans="2:54" ht="18.75" x14ac:dyDescent="0.3">
      <c r="B23" s="43">
        <f t="shared" si="8"/>
        <v>41747</v>
      </c>
      <c r="C23" s="44">
        <f t="shared" si="9"/>
        <v>41747</v>
      </c>
      <c r="D23" s="3"/>
      <c r="E23" s="62"/>
      <c r="F23" s="62"/>
      <c r="G23" s="62"/>
      <c r="H23" s="62"/>
      <c r="I23" s="62" t="str">
        <f t="shared" ca="1" si="0"/>
        <v/>
      </c>
      <c r="J23" s="52">
        <f>IF(AND(Feiertage!$G$2&lt;&gt;"ja",AV23=1),IF(AZ23&gt;0,BB23+AZ23,BB23),IF(AZ23=0,0, IF(I23&lt;&gt;"",AZ23-I23,AZ23)))+AX23</f>
        <v>0</v>
      </c>
      <c r="K23" s="62">
        <f>IF(AV23=0,BB23,IF(Feiertage!$G$2="ja","00:00",BB23))</f>
        <v>0.33333333333333331</v>
      </c>
      <c r="L23" s="52">
        <f t="shared" ca="1" si="11"/>
        <v>-0.33333333333333331</v>
      </c>
      <c r="M23" s="50" t="str">
        <f>IF(AV23=1,AU23,IF(LOWER(AW23)=LOWER(Urlaub!$W$19),Urlaub!$S$19,
IF(LOWER(AW23)=LOWER(Urlaub!$W$20),Urlaub!$S$20,
IF(LOWER(AW23)=LOWER(Urlaub!$W$21),Urlaub!$S$21,
IF(LOWER(AW23)=LOWER(Urlaub!$W$22),Urlaub!$S$22,
IF(LOWER(AW23)=LOWER(Urlaub!$W$23),Urlaub!$S$23,
IF(LOWER(AW23)=LOWER(Urlaub!$W$24),Urlaub!$S$24,""))))))&amp;IF(AND(EXACT(LOWER(AW23),AW23),AW23&lt;&gt;0)," 1/2",""))</f>
        <v/>
      </c>
      <c r="N23" s="53">
        <f t="shared" si="2"/>
        <v>0</v>
      </c>
      <c r="AU23" t="str">
        <f>IF(AV23=1,VLOOKUP($B23,Feiertage!$B$2:$D$49,3,FALSE),"")</f>
        <v/>
      </c>
      <c r="AV23">
        <f>IF(IFERROR(MATCH($B23,Feiertage!$B$2:$B$49,0)&gt;0,0),1,0)</f>
        <v>0</v>
      </c>
      <c r="AW23" s="22">
        <f>IFERROR(HLOOKUP(DAY(B23),Urlaub!$C$4:$AG$16,MONTH(B23)+1,FALSE),0)</f>
        <v>0</v>
      </c>
      <c r="AX23" s="38">
        <f>IFERROR(IF(OR(AW23=0,AW23="G"),0,IF(EXACT(LOWER(AW23),AW23),0.5*BB23,BB23)),"")</f>
        <v>0</v>
      </c>
      <c r="AY23" s="7">
        <f t="shared" si="4"/>
        <v>2.0833333333333301E-2</v>
      </c>
      <c r="AZ23" s="5">
        <f t="shared" si="5"/>
        <v>0</v>
      </c>
      <c r="BA23" s="39">
        <f t="shared" si="7"/>
        <v>0</v>
      </c>
      <c r="BB23" s="5">
        <f t="shared" si="6"/>
        <v>0.33333333333333331</v>
      </c>
    </row>
    <row r="24" spans="2:54" ht="18.75" x14ac:dyDescent="0.3">
      <c r="B24" s="43">
        <f t="shared" si="8"/>
        <v>41748</v>
      </c>
      <c r="C24" s="44">
        <f t="shared" si="9"/>
        <v>41748</v>
      </c>
      <c r="D24" s="3"/>
      <c r="E24" s="62"/>
      <c r="F24" s="62"/>
      <c r="G24" s="62"/>
      <c r="H24" s="62"/>
      <c r="I24" s="62" t="str">
        <f t="shared" ca="1" si="0"/>
        <v/>
      </c>
      <c r="J24" s="52">
        <f>IF(AND(Feiertage!$G$2&lt;&gt;"ja",AV24=1),IF(AZ24&gt;0,BB24+AZ24,BB24),IF(AZ24=0,0, IF(I24&lt;&gt;"",AZ24-I24,AZ24)))+AX24</f>
        <v>0</v>
      </c>
      <c r="K24" s="62">
        <f>IF(AV24=0,BB24,IF(Feiertage!$G$2="ja","00:00",BB24))</f>
        <v>0.33333333333333331</v>
      </c>
      <c r="L24" s="52">
        <f t="shared" ca="1" si="11"/>
        <v>-0.33333333333333331</v>
      </c>
      <c r="M24" s="50" t="str">
        <f>IF(AV24=1,AU24,IF(LOWER(AW24)=LOWER(Urlaub!$W$19),Urlaub!$S$19,
IF(LOWER(AW24)=LOWER(Urlaub!$W$20),Urlaub!$S$20,
IF(LOWER(AW24)=LOWER(Urlaub!$W$21),Urlaub!$S$21,
IF(LOWER(AW24)=LOWER(Urlaub!$W$22),Urlaub!$S$22,
IF(LOWER(AW24)=LOWER(Urlaub!$W$23),Urlaub!$S$23,
IF(LOWER(AW24)=LOWER(Urlaub!$W$24),Urlaub!$S$24,""))))))&amp;IF(AND(EXACT(LOWER(AW24),AW24),AW24&lt;&gt;0)," 1/2",""))</f>
        <v/>
      </c>
      <c r="N24" s="53">
        <f t="shared" si="2"/>
        <v>0</v>
      </c>
      <c r="AU24" t="str">
        <f>IF(AV24=1,VLOOKUP($B24,Feiertage!$B$2:$D$49,3,FALSE),"")</f>
        <v/>
      </c>
      <c r="AV24">
        <f>IF(IFERROR(MATCH($B24,Feiertage!$B$2:$B$49,0)&gt;0,0),1,0)</f>
        <v>0</v>
      </c>
      <c r="AW24" s="22">
        <f>IFERROR(HLOOKUP(DAY(B24),Urlaub!$C$4:$AG$16,MONTH(B24)+1,FALSE),0)</f>
        <v>0</v>
      </c>
      <c r="AX24" s="38">
        <f t="shared" si="10"/>
        <v>0</v>
      </c>
      <c r="AY24" s="7">
        <f t="shared" si="4"/>
        <v>2.0833333333333301E-2</v>
      </c>
      <c r="AZ24" s="5">
        <f t="shared" si="5"/>
        <v>0</v>
      </c>
      <c r="BA24" s="39">
        <f t="shared" si="7"/>
        <v>0</v>
      </c>
      <c r="BB24" s="5">
        <f t="shared" si="6"/>
        <v>0.33333333333333331</v>
      </c>
    </row>
    <row r="25" spans="2:54" ht="18.75" x14ac:dyDescent="0.3">
      <c r="B25" s="43">
        <f t="shared" si="8"/>
        <v>41749</v>
      </c>
      <c r="C25" s="44">
        <f t="shared" si="9"/>
        <v>41749</v>
      </c>
      <c r="D25" s="3"/>
      <c r="E25" s="62"/>
      <c r="F25" s="62"/>
      <c r="G25" s="62"/>
      <c r="H25" s="62"/>
      <c r="I25" s="62" t="str">
        <f t="shared" ca="1" si="0"/>
        <v/>
      </c>
      <c r="J25" s="52">
        <f>IF(AND(Feiertage!$G$2&lt;&gt;"ja",AV25=1),IF(AZ25&gt;0,BB25+AZ25,BB25),IF(AZ25=0,0, IF(I25&lt;&gt;"",AZ25-I25,AZ25)))+AX25</f>
        <v>0</v>
      </c>
      <c r="K25" s="62">
        <f>IF(AV25=0,BB25,IF(Feiertage!$G$2="ja","00:00",BB25))</f>
        <v>0</v>
      </c>
      <c r="L25" s="52" t="str">
        <f t="shared" ca="1" si="11"/>
        <v/>
      </c>
      <c r="M25" s="50" t="str">
        <f>IF(AV25=1,AU25,IF(LOWER(AW25)=LOWER(Urlaub!$W$19),Urlaub!$S$19,
IF(LOWER(AW25)=LOWER(Urlaub!$W$20),Urlaub!$S$20,
IF(LOWER(AW25)=LOWER(Urlaub!$W$21),Urlaub!$S$21,
IF(LOWER(AW25)=LOWER(Urlaub!$W$22),Urlaub!$S$22,
IF(LOWER(AW25)=LOWER(Urlaub!$W$23),Urlaub!$S$23,
IF(LOWER(AW25)=LOWER(Urlaub!$W$24),Urlaub!$S$24,""))))))&amp;IF(AND(EXACT(LOWER(AW25),AW25),AW25&lt;&gt;0)," 1/2",""))</f>
        <v/>
      </c>
      <c r="N25" s="53">
        <f t="shared" si="2"/>
        <v>0</v>
      </c>
      <c r="AU25" t="str">
        <f>IF(AV25=1,VLOOKUP($B25,Feiertage!$B$2:$D$49,3,FALSE),"")</f>
        <v/>
      </c>
      <c r="AV25">
        <f>IF(IFERROR(MATCH($B25,Feiertage!$B$2:$B$49,0)&gt;0,0),1,0)</f>
        <v>0</v>
      </c>
      <c r="AW25" s="22">
        <f>IFERROR(HLOOKUP(DAY(B25),Urlaub!$C$4:$AG$16,MONTH(B25)+1,FALSE),0)</f>
        <v>0</v>
      </c>
      <c r="AX25" s="38">
        <f t="shared" si="10"/>
        <v>0</v>
      </c>
      <c r="AY25" s="7">
        <f t="shared" si="4"/>
        <v>2.0833333333333301E-2</v>
      </c>
      <c r="AZ25" s="5">
        <f t="shared" si="5"/>
        <v>0</v>
      </c>
      <c r="BA25" s="39">
        <f t="shared" si="7"/>
        <v>0</v>
      </c>
      <c r="BB25" s="5">
        <f t="shared" si="6"/>
        <v>0</v>
      </c>
    </row>
    <row r="26" spans="2:54" ht="18.75" x14ac:dyDescent="0.3">
      <c r="B26" s="43">
        <f t="shared" si="8"/>
        <v>41750</v>
      </c>
      <c r="C26" s="44">
        <f t="shared" si="9"/>
        <v>41750</v>
      </c>
      <c r="D26" s="3"/>
      <c r="E26" s="62"/>
      <c r="F26" s="62"/>
      <c r="G26" s="62"/>
      <c r="H26" s="62"/>
      <c r="I26" s="62" t="str">
        <f t="shared" ca="1" si="0"/>
        <v/>
      </c>
      <c r="J26" s="52">
        <f>IF(AND(Feiertage!$G$2&lt;&gt;"ja",AV26=1),IF(AZ26&gt;0,BB26+AZ26,BB26),IF(AZ26=0,0, IF(I26&lt;&gt;"",AZ26-I26,AZ26)))+AX26</f>
        <v>0</v>
      </c>
      <c r="K26" s="62">
        <f>IF(AV26=0,BB26,IF(Feiertage!$G$2="ja","00:00",BB26))</f>
        <v>0</v>
      </c>
      <c r="L26" s="52" t="str">
        <f t="shared" ca="1" si="11"/>
        <v/>
      </c>
      <c r="M26" s="50" t="str">
        <f>IF(AV26=1,AU26,IF(LOWER(AW26)=LOWER(Urlaub!$W$19),Urlaub!$S$19,
IF(LOWER(AW26)=LOWER(Urlaub!$W$20),Urlaub!$S$20,
IF(LOWER(AW26)=LOWER(Urlaub!$W$21),Urlaub!$S$21,
IF(LOWER(AW26)=LOWER(Urlaub!$W$22),Urlaub!$S$22,
IF(LOWER(AW26)=LOWER(Urlaub!$W$23),Urlaub!$S$23,
IF(LOWER(AW26)=LOWER(Urlaub!$W$24),Urlaub!$S$24,""))))))&amp;IF(AND(EXACT(LOWER(AW26),AW26),AW26&lt;&gt;0)," 1/2",""))</f>
        <v/>
      </c>
      <c r="N26" s="53">
        <f t="shared" si="2"/>
        <v>0</v>
      </c>
      <c r="AU26" t="str">
        <f>IF(AV26=1,VLOOKUP($B26,Feiertage!$B$2:$D$49,3,FALSE),"")</f>
        <v/>
      </c>
      <c r="AV26">
        <f>IF(IFERROR(MATCH($B26,Feiertage!$B$2:$B$49,0)&gt;0,0),1,0)</f>
        <v>0</v>
      </c>
      <c r="AW26" s="22">
        <f>IFERROR(HLOOKUP(DAY(B26),Urlaub!$C$4:$AG$16,MONTH(B26)+1,FALSE),0)</f>
        <v>0</v>
      </c>
      <c r="AX26" s="38">
        <f t="shared" si="10"/>
        <v>0</v>
      </c>
      <c r="AY26" s="7">
        <f t="shared" si="4"/>
        <v>2.0833333333333301E-2</v>
      </c>
      <c r="AZ26" s="5">
        <f t="shared" si="5"/>
        <v>0</v>
      </c>
      <c r="BA26" s="39">
        <f t="shared" si="7"/>
        <v>0</v>
      </c>
      <c r="BB26" s="5">
        <f t="shared" si="6"/>
        <v>0</v>
      </c>
    </row>
    <row r="27" spans="2:54" ht="18.75" x14ac:dyDescent="0.3">
      <c r="B27" s="43">
        <f t="shared" si="8"/>
        <v>41751</v>
      </c>
      <c r="C27" s="44">
        <f t="shared" si="9"/>
        <v>41751</v>
      </c>
      <c r="D27" s="3"/>
      <c r="E27" s="62"/>
      <c r="F27" s="62"/>
      <c r="G27" s="62"/>
      <c r="H27" s="62"/>
      <c r="I27" s="62" t="str">
        <f t="shared" ca="1" si="0"/>
        <v/>
      </c>
      <c r="J27" s="52">
        <f>IF(AND(Feiertage!$G$2&lt;&gt;"ja",AV27=1),IF(AZ27&gt;0,BB27+AZ27,BB27),IF(AZ27=0,0, IF(I27&lt;&gt;"",AZ27-I27,AZ27)))+AX27</f>
        <v>0</v>
      </c>
      <c r="K27" s="62">
        <f>IF(AV27=0,BB27,IF(Feiertage!$G$2="ja","00:00",BB27))</f>
        <v>0.33333333333333331</v>
      </c>
      <c r="L27" s="52">
        <f t="shared" ca="1" si="11"/>
        <v>-0.33333333333333331</v>
      </c>
      <c r="M27" s="50" t="str">
        <f>IF(AV27=1,AU27,IF(LOWER(AW27)=LOWER(Urlaub!$W$19),Urlaub!$S$19,
IF(LOWER(AW27)=LOWER(Urlaub!$W$20),Urlaub!$S$20,
IF(LOWER(AW27)=LOWER(Urlaub!$W$21),Urlaub!$S$21,
IF(LOWER(AW27)=LOWER(Urlaub!$W$22),Urlaub!$S$22,
IF(LOWER(AW27)=LOWER(Urlaub!$W$23),Urlaub!$S$23,
IF(LOWER(AW27)=LOWER(Urlaub!$W$24),Urlaub!$S$24,""))))))&amp;IF(AND(EXACT(LOWER(AW27),AW27),AW27&lt;&gt;0)," 1/2",""))</f>
        <v/>
      </c>
      <c r="N27" s="53">
        <f t="shared" si="2"/>
        <v>0</v>
      </c>
      <c r="AU27" t="str">
        <f>IF(AV27=1,VLOOKUP($B27,Feiertage!$B$2:$D$49,3,FALSE),"")</f>
        <v/>
      </c>
      <c r="AV27">
        <f>IF(IFERROR(MATCH($B27,Feiertage!$B$2:$B$49,0)&gt;0,0),1,0)</f>
        <v>0</v>
      </c>
      <c r="AW27" s="22">
        <f>IFERROR(HLOOKUP(DAY(B27),Urlaub!$C$4:$AG$16,MONTH(B27)+1,FALSE),0)</f>
        <v>0</v>
      </c>
      <c r="AX27" s="38">
        <f t="shared" si="10"/>
        <v>0</v>
      </c>
      <c r="AY27" s="7">
        <f t="shared" si="4"/>
        <v>2.0833333333333332E-2</v>
      </c>
      <c r="AZ27" s="5">
        <f t="shared" si="5"/>
        <v>0</v>
      </c>
      <c r="BA27" s="39">
        <f t="shared" si="7"/>
        <v>0</v>
      </c>
      <c r="BB27" s="5">
        <f t="shared" si="6"/>
        <v>0.33333333333333331</v>
      </c>
    </row>
    <row r="28" spans="2:54" ht="18.75" x14ac:dyDescent="0.3">
      <c r="B28" s="43">
        <f t="shared" si="8"/>
        <v>41752</v>
      </c>
      <c r="C28" s="44">
        <f t="shared" si="9"/>
        <v>41752</v>
      </c>
      <c r="D28" s="3"/>
      <c r="E28" s="62"/>
      <c r="F28" s="62"/>
      <c r="G28" s="62"/>
      <c r="H28" s="62"/>
      <c r="I28" s="62" t="str">
        <f t="shared" ca="1" si="0"/>
        <v/>
      </c>
      <c r="J28" s="52">
        <f>IF(AND(Feiertage!$G$2&lt;&gt;"ja",AV28=1),IF(AZ28&gt;0,BB28+AZ28,BB28),IF(AZ28=0,0, IF(I28&lt;&gt;"",AZ28-I28,AZ28)))+AX28</f>
        <v>0</v>
      </c>
      <c r="K28" s="62">
        <f>IF(AV28=0,BB28,IF(Feiertage!$G$2="ja","00:00",BB28))</f>
        <v>0.33333333333333331</v>
      </c>
      <c r="L28" s="52">
        <f t="shared" ca="1" si="11"/>
        <v>-0.33333333333333331</v>
      </c>
      <c r="M28" s="50" t="str">
        <f>IF(AV28=1,AU28,IF(LOWER(AW28)=LOWER(Urlaub!$W$19),Urlaub!$S$19,
IF(LOWER(AW28)=LOWER(Urlaub!$W$20),Urlaub!$S$20,
IF(LOWER(AW28)=LOWER(Urlaub!$W$21),Urlaub!$S$21,
IF(LOWER(AW28)=LOWER(Urlaub!$W$22),Urlaub!$S$22,
IF(LOWER(AW28)=LOWER(Urlaub!$W$23),Urlaub!$S$23,
IF(LOWER(AW28)=LOWER(Urlaub!$W$24),Urlaub!$S$24,""))))))&amp;IF(AND(EXACT(LOWER(AW28),AW28),AW28&lt;&gt;0)," 1/2",""))</f>
        <v/>
      </c>
      <c r="N28" s="53">
        <f t="shared" si="2"/>
        <v>0</v>
      </c>
      <c r="AU28" t="str">
        <f>IF(AV28=1,VLOOKUP($B28,Feiertage!$B$2:$D$49,3,FALSE),"")</f>
        <v/>
      </c>
      <c r="AV28">
        <f>IF(IFERROR(MATCH($B28,Feiertage!$B$2:$B$49,0)&gt;0,0),1,0)</f>
        <v>0</v>
      </c>
      <c r="AW28" s="22">
        <f>IFERROR(HLOOKUP(DAY(B28),Urlaub!$C$4:$AG$16,MONTH(B28)+1,FALSE),0)</f>
        <v>0</v>
      </c>
      <c r="AX28" s="38">
        <f t="shared" si="10"/>
        <v>0</v>
      </c>
      <c r="AY28" s="7">
        <f t="shared" si="4"/>
        <v>2.0833333333333332E-2</v>
      </c>
      <c r="AZ28" s="5">
        <f t="shared" si="5"/>
        <v>0</v>
      </c>
      <c r="BA28" s="39">
        <f t="shared" si="7"/>
        <v>0</v>
      </c>
      <c r="BB28" s="5">
        <f t="shared" si="6"/>
        <v>0.33333333333333331</v>
      </c>
    </row>
    <row r="29" spans="2:54" ht="18.75" x14ac:dyDescent="0.3">
      <c r="B29" s="43">
        <f t="shared" si="8"/>
        <v>41753</v>
      </c>
      <c r="C29" s="44">
        <f t="shared" si="9"/>
        <v>41753</v>
      </c>
      <c r="D29" s="3"/>
      <c r="E29" s="62"/>
      <c r="F29" s="62"/>
      <c r="G29" s="62"/>
      <c r="H29" s="62"/>
      <c r="I29" s="62" t="str">
        <f t="shared" ca="1" si="0"/>
        <v/>
      </c>
      <c r="J29" s="52">
        <f>IF(AND(Feiertage!$G$2&lt;&gt;"ja",AV29=1),IF(AZ29&gt;0,BB29+AZ29,BB29),IF(AZ29=0,0, IF(I29&lt;&gt;"",AZ29-I29,AZ29)))+AX29</f>
        <v>0</v>
      </c>
      <c r="K29" s="62">
        <f>IF(AV29=0,BB29,IF(Feiertage!$G$2="ja","00:00",BB29))</f>
        <v>0.33333333333333331</v>
      </c>
      <c r="L29" s="52">
        <f t="shared" ca="1" si="11"/>
        <v>-0.33333333333333331</v>
      </c>
      <c r="M29" s="50" t="str">
        <f>IF(AV29=1,AU29,IF(LOWER(AW29)=LOWER(Urlaub!$W$19),Urlaub!$S$19,
IF(LOWER(AW29)=LOWER(Urlaub!$W$20),Urlaub!$S$20,
IF(LOWER(AW29)=LOWER(Urlaub!$W$21),Urlaub!$S$21,
IF(LOWER(AW29)=LOWER(Urlaub!$W$22),Urlaub!$S$22,
IF(LOWER(AW29)=LOWER(Urlaub!$W$23),Urlaub!$S$23,
IF(LOWER(AW29)=LOWER(Urlaub!$W$24),Urlaub!$S$24,""))))))&amp;IF(AND(EXACT(LOWER(AW29),AW29),AW29&lt;&gt;0)," 1/2",""))</f>
        <v/>
      </c>
      <c r="N29" s="53">
        <f t="shared" si="2"/>
        <v>0</v>
      </c>
      <c r="AU29" t="str">
        <f>IF(AV29=1,VLOOKUP($B29,Feiertage!$B$2:$D$49,3,FALSE),"")</f>
        <v/>
      </c>
      <c r="AV29">
        <f>IF(IFERROR(MATCH($B29,Feiertage!$B$2:$B$49,0)&gt;0,0),1,0)</f>
        <v>0</v>
      </c>
      <c r="AW29" s="22">
        <f>IFERROR(HLOOKUP(DAY(B29),Urlaub!$C$4:$AG$16,MONTH(B29)+1,FALSE),0)</f>
        <v>0</v>
      </c>
      <c r="AX29" s="38">
        <f t="shared" si="10"/>
        <v>0</v>
      </c>
      <c r="AY29" s="7">
        <f t="shared" si="4"/>
        <v>2.0833333333333301E-2</v>
      </c>
      <c r="AZ29" s="5">
        <f t="shared" si="5"/>
        <v>0</v>
      </c>
      <c r="BA29" s="39">
        <f t="shared" si="7"/>
        <v>0</v>
      </c>
      <c r="BB29" s="5">
        <f t="shared" si="6"/>
        <v>0.33333333333333331</v>
      </c>
    </row>
    <row r="30" spans="2:54" ht="18.75" x14ac:dyDescent="0.3">
      <c r="B30" s="43">
        <f t="shared" si="8"/>
        <v>41754</v>
      </c>
      <c r="C30" s="44">
        <f t="shared" si="9"/>
        <v>41754</v>
      </c>
      <c r="D30" s="3"/>
      <c r="E30" s="62"/>
      <c r="F30" s="62"/>
      <c r="G30" s="62"/>
      <c r="H30" s="62"/>
      <c r="I30" s="62" t="str">
        <f t="shared" ca="1" si="0"/>
        <v/>
      </c>
      <c r="J30" s="52">
        <f>IF(AND(Feiertage!$G$2&lt;&gt;"ja",AV30=1),IF(AZ30&gt;0,BB30+AZ30,BB30),IF(AZ30=0,0, IF(I30&lt;&gt;"",AZ30-I30,AZ30)))+AX30</f>
        <v>0</v>
      </c>
      <c r="K30" s="62">
        <f>IF(AV30=0,BB30,IF(Feiertage!$G$2="ja","00:00",BB30))</f>
        <v>0.33333333333333331</v>
      </c>
      <c r="L30" s="52">
        <f t="shared" ca="1" si="11"/>
        <v>-0.33333333333333331</v>
      </c>
      <c r="M30" s="50" t="str">
        <f>IF(AV30=1,AU30,IF(LOWER(AW30)=LOWER(Urlaub!$W$19),Urlaub!$S$19,
IF(LOWER(AW30)=LOWER(Urlaub!$W$20),Urlaub!$S$20,
IF(LOWER(AW30)=LOWER(Urlaub!$W$21),Urlaub!$S$21,
IF(LOWER(AW30)=LOWER(Urlaub!$W$22),Urlaub!$S$22,
IF(LOWER(AW30)=LOWER(Urlaub!$W$23),Urlaub!$S$23,
IF(LOWER(AW30)=LOWER(Urlaub!$W$24),Urlaub!$S$24,""))))))&amp;IF(AND(EXACT(LOWER(AW30),AW30),AW30&lt;&gt;0)," 1/2",""))</f>
        <v/>
      </c>
      <c r="N30" s="53">
        <f t="shared" si="2"/>
        <v>0</v>
      </c>
      <c r="AU30" t="str">
        <f>IF(AV30=1,VLOOKUP($B30,Feiertage!$B$2:$D$49,3,FALSE),"")</f>
        <v/>
      </c>
      <c r="AV30">
        <f>IF(IFERROR(MATCH($B30,Feiertage!$B$2:$B$49,0)&gt;0,0),1,0)</f>
        <v>0</v>
      </c>
      <c r="AW30" s="22">
        <f>IFERROR(HLOOKUP(DAY(B30),Urlaub!$C$4:$AG$16,MONTH(B30)+1,FALSE),0)</f>
        <v>0</v>
      </c>
      <c r="AX30" s="38">
        <f t="shared" si="10"/>
        <v>0</v>
      </c>
      <c r="AY30" s="7">
        <f t="shared" si="4"/>
        <v>2.0833333333333301E-2</v>
      </c>
      <c r="AZ30" s="5">
        <f t="shared" si="5"/>
        <v>0</v>
      </c>
      <c r="BA30" s="39">
        <f t="shared" si="7"/>
        <v>0</v>
      </c>
      <c r="BB30" s="5">
        <f t="shared" si="6"/>
        <v>0.33333333333333331</v>
      </c>
    </row>
    <row r="31" spans="2:54" ht="18.75" x14ac:dyDescent="0.3">
      <c r="B31" s="43">
        <f t="shared" si="8"/>
        <v>41755</v>
      </c>
      <c r="C31" s="44">
        <f t="shared" si="9"/>
        <v>41755</v>
      </c>
      <c r="D31" s="3"/>
      <c r="E31" s="62"/>
      <c r="F31" s="62"/>
      <c r="G31" s="62"/>
      <c r="H31" s="62"/>
      <c r="I31" s="62" t="str">
        <f t="shared" ca="1" si="0"/>
        <v/>
      </c>
      <c r="J31" s="52">
        <f>IF(AND(Feiertage!$G$2&lt;&gt;"ja",AV31=1),IF(AZ31&gt;0,BB31+AZ31,BB31),IF(AZ31=0,0, IF(I31&lt;&gt;"",AZ31-I31,AZ31)))+AX31</f>
        <v>0</v>
      </c>
      <c r="K31" s="62">
        <f>IF(AV31=0,BB31,IF(Feiertage!$G$2="ja","00:00",BB31))</f>
        <v>0.33333333333333331</v>
      </c>
      <c r="L31" s="52">
        <f t="shared" ca="1" si="11"/>
        <v>-0.33333333333333331</v>
      </c>
      <c r="M31" s="50" t="str">
        <f>IF(AV31=1,AU31,IF(LOWER(AW31)=LOWER(Urlaub!$W$19),Urlaub!$S$19,
IF(LOWER(AW31)=LOWER(Urlaub!$W$20),Urlaub!$S$20,
IF(LOWER(AW31)=LOWER(Urlaub!$W$21),Urlaub!$S$21,
IF(LOWER(AW31)=LOWER(Urlaub!$W$22),Urlaub!$S$22,
IF(LOWER(AW31)=LOWER(Urlaub!$W$23),Urlaub!$S$23,
IF(LOWER(AW31)=LOWER(Urlaub!$W$24),Urlaub!$S$24,""))))))&amp;IF(AND(EXACT(LOWER(AW31),AW31),AW31&lt;&gt;0)," 1/2",""))</f>
        <v/>
      </c>
      <c r="N31" s="53">
        <f t="shared" si="2"/>
        <v>0</v>
      </c>
      <c r="AU31" t="str">
        <f>IF(AV31=1,VLOOKUP($B31,Feiertage!$B$2:$D$49,3,FALSE),"")</f>
        <v/>
      </c>
      <c r="AV31">
        <f>IF(IFERROR(MATCH($B31,Feiertage!$B$2:$B$49,0)&gt;0,0),1,0)</f>
        <v>0</v>
      </c>
      <c r="AW31" s="22">
        <f>IFERROR(HLOOKUP(DAY(B31),Urlaub!$C$4:$AG$16,MONTH(B31)+1,FALSE),0)</f>
        <v>0</v>
      </c>
      <c r="AX31" s="38">
        <f t="shared" si="10"/>
        <v>0</v>
      </c>
      <c r="AY31" s="7">
        <f t="shared" si="4"/>
        <v>2.0833333333333301E-2</v>
      </c>
      <c r="AZ31" s="5">
        <f t="shared" si="5"/>
        <v>0</v>
      </c>
      <c r="BA31" s="39">
        <f t="shared" si="7"/>
        <v>0</v>
      </c>
      <c r="BB31" s="5">
        <f t="shared" si="6"/>
        <v>0.33333333333333331</v>
      </c>
    </row>
    <row r="32" spans="2:54" ht="18.75" x14ac:dyDescent="0.3">
      <c r="B32" s="43">
        <f t="shared" si="8"/>
        <v>41756</v>
      </c>
      <c r="C32" s="44">
        <f t="shared" si="9"/>
        <v>41756</v>
      </c>
      <c r="D32" s="3"/>
      <c r="E32" s="62"/>
      <c r="F32" s="62"/>
      <c r="G32" s="62"/>
      <c r="H32" s="62"/>
      <c r="I32" s="62" t="str">
        <f t="shared" ca="1" si="0"/>
        <v/>
      </c>
      <c r="J32" s="52">
        <f>IF(AND(Feiertage!$G$2&lt;&gt;"ja",AV32=1),IF(AZ32&gt;0,BB32+AZ32,BB32),IF(AZ32=0,0, IF(I32&lt;&gt;"",AZ32-I32,AZ32)))+AX32</f>
        <v>0</v>
      </c>
      <c r="K32" s="62">
        <f>IF(AV32=0,BB32,IF(Feiertage!$G$2="ja","00:00",BB32))</f>
        <v>0</v>
      </c>
      <c r="L32" s="52" t="str">
        <f t="shared" ca="1" si="11"/>
        <v/>
      </c>
      <c r="M32" s="50" t="str">
        <f>IF(AV32=1,AU32,IF(LOWER(AW32)=LOWER(Urlaub!$W$19),Urlaub!$S$19,
IF(LOWER(AW32)=LOWER(Urlaub!$W$20),Urlaub!$S$20,
IF(LOWER(AW32)=LOWER(Urlaub!$W$21),Urlaub!$S$21,
IF(LOWER(AW32)=LOWER(Urlaub!$W$22),Urlaub!$S$22,
IF(LOWER(AW32)=LOWER(Urlaub!$W$23),Urlaub!$S$23,
IF(LOWER(AW32)=LOWER(Urlaub!$W$24),Urlaub!$S$24,""))))))&amp;IF(AND(EXACT(LOWER(AW32),AW32),AW32&lt;&gt;0)," 1/2",""))</f>
        <v/>
      </c>
      <c r="N32" s="53">
        <f t="shared" si="2"/>
        <v>0</v>
      </c>
      <c r="AU32" t="str">
        <f>IF(AV32=1,VLOOKUP($B32,Feiertage!$B$2:$D$49,3,FALSE),"")</f>
        <v/>
      </c>
      <c r="AV32">
        <f>IF(IFERROR(MATCH($B32,Feiertage!$B$2:$B$49,0)&gt;0,0),1,0)</f>
        <v>0</v>
      </c>
      <c r="AW32" s="22">
        <f>IFERROR(HLOOKUP(DAY(B32),Urlaub!$C$4:$AG$16,MONTH(B32)+1,FALSE),0)</f>
        <v>0</v>
      </c>
      <c r="AX32" s="38">
        <f t="shared" si="10"/>
        <v>0</v>
      </c>
      <c r="AY32" s="7">
        <f t="shared" si="4"/>
        <v>2.0833333333333301E-2</v>
      </c>
      <c r="AZ32" s="5">
        <f t="shared" si="5"/>
        <v>0</v>
      </c>
      <c r="BA32" s="39">
        <f t="shared" si="7"/>
        <v>0</v>
      </c>
      <c r="BB32" s="5">
        <f t="shared" si="6"/>
        <v>0</v>
      </c>
    </row>
    <row r="33" spans="2:54" ht="18.75" x14ac:dyDescent="0.3">
      <c r="B33" s="43">
        <f>IF(B32&lt;&gt;"",IF(MONTH($B$1)&lt;MONTH(B32+1),"",B32+1),"")</f>
        <v>41757</v>
      </c>
      <c r="C33" s="44">
        <f t="shared" si="9"/>
        <v>41757</v>
      </c>
      <c r="D33" s="3"/>
      <c r="E33" s="62"/>
      <c r="F33" s="62"/>
      <c r="G33" s="62"/>
      <c r="H33" s="62"/>
      <c r="I33" s="62" t="str">
        <f t="shared" ca="1" si="0"/>
        <v/>
      </c>
      <c r="J33" s="52">
        <f>IF(B33&lt;&gt;"",IF(AND(Feiertage!$G$2&lt;&gt;"ja",AV33=1),IF(AZ33&gt;0,BB33+AZ33,BB33),IF(AZ33=0,0, IF(I33&lt;&gt;"",AZ33-I33,AZ33)))+AX33,"")</f>
        <v>0</v>
      </c>
      <c r="K33" s="62">
        <f>IF(B33&lt;&gt;"",IF(AV33=0,BB33,IF(Feiertage!$G$2="ja","00:00",BB33)),"")</f>
        <v>0</v>
      </c>
      <c r="L33" s="52" t="str">
        <f t="shared" ca="1" si="11"/>
        <v/>
      </c>
      <c r="M33" s="50" t="str">
        <f>IF(AV33=1,AU33,IF(LOWER(AW33)=LOWER(Urlaub!$W$19),Urlaub!$S$19,
IF(LOWER(AW33)=LOWER(Urlaub!$W$20),Urlaub!$S$20,
IF(LOWER(AW33)=LOWER(Urlaub!$W$21),Urlaub!$S$21,
IF(LOWER(AW33)=LOWER(Urlaub!$W$22),Urlaub!$S$22,
IF(LOWER(AW33)=LOWER(Urlaub!$W$23),Urlaub!$S$23,
IF(LOWER(AW33)=LOWER(Urlaub!$W$24),Urlaub!$S$24,""))))))&amp;IF(AND(EXACT(LOWER(AW33),AW33),AW33&lt;&gt;0)," 1/2",""))</f>
        <v/>
      </c>
      <c r="N33" s="53">
        <f>IF(J33&lt;&gt;"",24*J33*IF(WEEKDAY(C33)=WEEKDAY($P$6),$S$6,
IF(WEEKDAY(C33)=WEEKDAY($P$7),$S$7,
IF(WEEKDAY(C33)=WEEKDAY($P$8),$S$8,
IF(WEEKDAY(C33)=WEEKDAY($P$9),$S$9,
IF(WEEKDAY(C33)=WEEKDAY($P$10),$S$10,
IF(WEEKDAY(C33)=WEEKDAY($P$11),$S$11,
IF(WEEKDAY(C33)=WEEKDAY($P$12),$S$12,""))))))),"")</f>
        <v>0</v>
      </c>
      <c r="AU33" t="str">
        <f>IF(AV33=1,VLOOKUP($B33,Feiertage!$B$2:$D$49,3,FALSE),"")</f>
        <v/>
      </c>
      <c r="AV33">
        <f>IF(IFERROR(MATCH($B33,Feiertage!$B$2:$B$49,0)&gt;0,0),1,0)</f>
        <v>0</v>
      </c>
      <c r="AW33" s="22">
        <f>IFERROR(HLOOKUP(DAY(B33),Urlaub!$C$4:$AG$16,MONTH(B33)+1,FALSE),0)</f>
        <v>0</v>
      </c>
      <c r="AX33" s="38">
        <f t="shared" si="10"/>
        <v>0</v>
      </c>
      <c r="AY33" s="7">
        <f t="shared" si="4"/>
        <v>2.0833333333333301E-2</v>
      </c>
      <c r="AZ33" s="5">
        <f t="shared" si="5"/>
        <v>0</v>
      </c>
      <c r="BA33" s="39">
        <f t="shared" si="7"/>
        <v>0</v>
      </c>
      <c r="BB33" s="5">
        <f t="shared" si="6"/>
        <v>0</v>
      </c>
    </row>
    <row r="34" spans="2:54" ht="18.75" x14ac:dyDescent="0.3">
      <c r="B34" s="43">
        <f t="shared" ref="B34:B35" si="12">IF(B33&lt;&gt;"",IF(MONTH($B$1)&lt;MONTH(B33+1),"",B33+1),"")</f>
        <v>41758</v>
      </c>
      <c r="C34" s="44">
        <f t="shared" si="9"/>
        <v>41758</v>
      </c>
      <c r="D34" s="3"/>
      <c r="E34" s="62"/>
      <c r="F34" s="62"/>
      <c r="G34" s="62"/>
      <c r="H34" s="62"/>
      <c r="I34" s="62" t="str">
        <f t="shared" ca="1" si="0"/>
        <v/>
      </c>
      <c r="J34" s="52">
        <f>IF(B34&lt;&gt;"",IF(AND(Feiertage!$G$2&lt;&gt;"ja",AV34=1),IF(AZ34&gt;0,BB34+AZ34,BB34),IF(AZ34=0,0, IF(I34&lt;&gt;"",AZ34-I34,AZ34)))+AX34,"")</f>
        <v>0</v>
      </c>
      <c r="K34" s="62">
        <f>IF(B34&lt;&gt;"",IF(AV34=0,BB34,IF(Feiertage!$G$2="ja","00:00",BB34)),"")</f>
        <v>0.33333333333333331</v>
      </c>
      <c r="L34" s="52">
        <f t="shared" ca="1" si="11"/>
        <v>-0.33333333333333331</v>
      </c>
      <c r="M34" s="50" t="str">
        <f>IF(AV34=1,AU34,IF(LOWER(AW34)=LOWER(Urlaub!$W$19),Urlaub!$S$19,
IF(LOWER(AW34)=LOWER(Urlaub!$W$20),Urlaub!$S$20,
IF(LOWER(AW34)=LOWER(Urlaub!$W$21),Urlaub!$S$21,
IF(LOWER(AW34)=LOWER(Urlaub!$W$22),Urlaub!$S$22,
IF(LOWER(AW34)=LOWER(Urlaub!$W$23),Urlaub!$S$23,
IF(LOWER(AW34)=LOWER(Urlaub!$W$24),Urlaub!$S$24,""))))))&amp;IF(AND(EXACT(LOWER(AW34),AW34),AW34&lt;&gt;0)," 1/2",""))</f>
        <v/>
      </c>
      <c r="N34" s="53">
        <f>IF(J34&lt;&gt;"",24*J34*IF(WEEKDAY(C34)=WEEKDAY($P$6),$S$6,
IF(WEEKDAY(C34)=WEEKDAY($P$7),$S$7,
IF(WEEKDAY(C34)=WEEKDAY($P$8),$S$8,
IF(WEEKDAY(C34)=WEEKDAY($P$9),$S$9,
IF(WEEKDAY(C34)=WEEKDAY($P$10),$S$10,
IF(WEEKDAY(C34)=WEEKDAY($P$11),$S$11,
IF(WEEKDAY(C34)=WEEKDAY($P$12),$S$12,""))))))),"")</f>
        <v>0</v>
      </c>
      <c r="AU34" t="str">
        <f>IF(AV34=1,VLOOKUP($B34,Feiertage!$B$2:$D$49,3,FALSE),"")</f>
        <v/>
      </c>
      <c r="AV34">
        <f>IF(IFERROR(MATCH($B34,Feiertage!$B$2:$B$49,0)&gt;0,0),1,0)</f>
        <v>0</v>
      </c>
      <c r="AW34" s="22">
        <f>IFERROR(HLOOKUP(DAY(B34),Urlaub!$C$4:$AG$16,MONTH(B34)+1,FALSE),0)</f>
        <v>0</v>
      </c>
      <c r="AX34" s="38">
        <f t="shared" si="10"/>
        <v>0</v>
      </c>
      <c r="AY34" s="7">
        <f t="shared" si="4"/>
        <v>2.0833333333333332E-2</v>
      </c>
      <c r="AZ34" s="5">
        <f t="shared" si="5"/>
        <v>0</v>
      </c>
      <c r="BA34" s="39">
        <f t="shared" si="7"/>
        <v>0</v>
      </c>
      <c r="BB34" s="5">
        <f t="shared" si="6"/>
        <v>0.33333333333333331</v>
      </c>
    </row>
    <row r="35" spans="2:54" ht="19.5" thickBot="1" x14ac:dyDescent="0.35">
      <c r="B35" s="70" t="str">
        <f t="shared" si="12"/>
        <v/>
      </c>
      <c r="C35" s="71" t="str">
        <f t="shared" si="9"/>
        <v/>
      </c>
      <c r="D35" s="72"/>
      <c r="E35" s="73"/>
      <c r="F35" s="73"/>
      <c r="G35" s="73"/>
      <c r="H35" s="74"/>
      <c r="I35" s="74" t="str">
        <f t="shared" ca="1" si="0"/>
        <v/>
      </c>
      <c r="J35" s="76" t="str">
        <f>IF(B35&lt;&gt;"",IF(AND(Feiertage!$G$2&lt;&gt;"ja",AV35=1),IF(AZ35&gt;0,BB35+AZ35,BB35),IF(AZ35=0,0, IF(I35&lt;&gt;"",AZ35-I35,AZ35)))+AX35,"")</f>
        <v/>
      </c>
      <c r="K35" s="73" t="str">
        <f>IF(B35&lt;&gt;"",IF(AV35=0,BB35,IF(Feiertage!$G$2="ja","00:00",BB35)),"")</f>
        <v/>
      </c>
      <c r="L35" s="52" t="str">
        <f t="shared" ca="1" si="11"/>
        <v/>
      </c>
      <c r="M35" s="50" t="str">
        <f>IF(AV35=1,AU35,IF(LOWER(AW35)=LOWER(Urlaub!$W$19),Urlaub!$S$19,
IF(LOWER(AW35)=LOWER(Urlaub!$W$20),Urlaub!$S$20,
IF(LOWER(AW35)=LOWER(Urlaub!$W$21),Urlaub!$S$21,
IF(LOWER(AW35)=LOWER(Urlaub!$W$22),Urlaub!$S$22,
IF(LOWER(AW35)=LOWER(Urlaub!$W$23),Urlaub!$S$23,
IF(LOWER(AW35)=LOWER(Urlaub!$W$24),Urlaub!$S$24,""))))))&amp;IF(AND(EXACT(LOWER(AW35),AW35),AW35&lt;&gt;0)," 1/2",""))</f>
        <v/>
      </c>
      <c r="N35" s="77" t="str">
        <f>IF(J35&lt;&gt;"",24*J35*IF(WEEKDAY(C35)=WEEKDAY($P$6),$S$6,
IF(WEEKDAY(C35)=WEEKDAY($P$7),$S$7,
IF(WEEKDAY(C35)=WEEKDAY($P$8),$S$8,
IF(WEEKDAY(C35)=WEEKDAY($P$9),$S$9,
IF(WEEKDAY(C35)=WEEKDAY($P$10),$S$10,
IF(WEEKDAY(C35)=WEEKDAY($P$11),$S$11,
IF(WEEKDAY(C35)=WEEKDAY($P$12),$S$12,""))))))),"")</f>
        <v/>
      </c>
      <c r="AU35" t="str">
        <f>IF(AV35=1,VLOOKUP($B35,Feiertage!$B$2:$D$49,3,FALSE),"")</f>
        <v/>
      </c>
      <c r="AV35">
        <f>IF(IFERROR(MATCH($B35,Feiertage!$B$2:$B$49,0)&gt;0,0),1,0)</f>
        <v>0</v>
      </c>
      <c r="AW35" s="22">
        <f>IFERROR(HLOOKUP(DAY(B35),Urlaub!$C$4:$AG$16,MONTH(B35)+1,FALSE),0)</f>
        <v>0</v>
      </c>
      <c r="AX35" s="38">
        <f t="shared" si="10"/>
        <v>0</v>
      </c>
      <c r="AY35" s="7" t="str">
        <f t="shared" si="4"/>
        <v/>
      </c>
      <c r="AZ35" s="5">
        <f t="shared" si="5"/>
        <v>0</v>
      </c>
      <c r="BA35" s="39">
        <f t="shared" si="7"/>
        <v>0</v>
      </c>
      <c r="BB35" s="5" t="str">
        <f t="shared" si="6"/>
        <v/>
      </c>
    </row>
    <row r="36" spans="2:54" ht="5.25" customHeight="1" thickTop="1" thickBot="1" x14ac:dyDescent="0.3">
      <c r="B36" s="1"/>
      <c r="H36" s="75"/>
      <c r="I36" s="75"/>
      <c r="J36" s="75"/>
      <c r="K36" s="2"/>
      <c r="L36" s="75"/>
    </row>
    <row r="37" spans="2:54" ht="24" thickBot="1" x14ac:dyDescent="0.4">
      <c r="B37" s="139" t="s">
        <v>74</v>
      </c>
      <c r="C37" s="140"/>
      <c r="D37" s="140"/>
      <c r="E37" s="140"/>
      <c r="F37" s="140"/>
      <c r="G37" s="140"/>
      <c r="H37" s="140"/>
      <c r="I37" s="141"/>
      <c r="J37" s="47">
        <f>SUM(J5:J35)</f>
        <v>0.33333333333333331</v>
      </c>
      <c r="K37" s="47">
        <f t="shared" ref="K37" si="13">SUM(K5:K35)</f>
        <v>6.9999999999999973</v>
      </c>
      <c r="L37" s="47">
        <f ca="1">SUM(L5:L35)</f>
        <v>-6.6666666666666643</v>
      </c>
      <c r="M37" s="47">
        <f>SUM(AX5:AX35)</f>
        <v>0</v>
      </c>
      <c r="N37" s="48">
        <f t="shared" ref="N37" si="14">SUM(N5:N35)</f>
        <v>0</v>
      </c>
    </row>
    <row r="38" spans="2:54" x14ac:dyDescent="0.25">
      <c r="B38" s="1"/>
    </row>
    <row r="39" spans="2:54" x14ac:dyDescent="0.25">
      <c r="B39" s="1"/>
    </row>
  </sheetData>
  <sheetProtection algorithmName="SHA-512" hashValue="vYxROScwaePE6yUb3MLP8yEfN6K6pY6Z+eGlMOsK/OTj5e5lOZ5U644lnqqyQl6pEaM/WOSGrbRuyVuUimT5Sw==" saltValue="+Y9HPGnNpI+ZvTWhv+K9sg==" spinCount="100000" sheet="1" selectLockedCells="1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7">
    <mergeCell ref="B37:I37"/>
    <mergeCell ref="E3:H3"/>
    <mergeCell ref="B1:N1"/>
    <mergeCell ref="U4:V4"/>
    <mergeCell ref="P4:S4"/>
    <mergeCell ref="P15:V15"/>
    <mergeCell ref="P16:V18"/>
  </mergeCells>
  <conditionalFormatting sqref="B5:N35">
    <cfRule type="expression" dxfId="33" priority="2" stopIfTrue="1">
      <formula>WEEKDAY($B5,2)&gt;5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1D1EF50B-2975-4662-952D-ED33E542FE0B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B5:N35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39"/>
  <sheetViews>
    <sheetView showGridLines="0" workbookViewId="0">
      <pane xSplit="4" ySplit="4" topLeftCell="E5" activePane="bottomRight" state="frozen"/>
      <selection activeCell="B1" sqref="B1:N1"/>
      <selection pane="topRight" activeCell="B1" sqref="B1:N1"/>
      <selection pane="bottomLeft" activeCell="B1" sqref="B1:N1"/>
      <selection pane="bottomRight" activeCell="E5" sqref="E5"/>
    </sheetView>
  </sheetViews>
  <sheetFormatPr baseColWidth="10" defaultRowHeight="15" x14ac:dyDescent="0.25"/>
  <cols>
    <col min="1" max="1" width="2.28515625" customWidth="1"/>
    <col min="2" max="2" width="8.85546875" customWidth="1"/>
    <col min="3" max="3" width="7.28515625" customWidth="1"/>
    <col min="4" max="4" width="1" customWidth="1"/>
    <col min="5" max="8" width="7.7109375" customWidth="1"/>
    <col min="9" max="9" width="8" customWidth="1"/>
    <col min="10" max="10" width="12.42578125" customWidth="1"/>
    <col min="11" max="11" width="12.140625" customWidth="1"/>
    <col min="12" max="12" width="12.85546875" customWidth="1"/>
    <col min="13" max="13" width="23" bestFit="1" customWidth="1"/>
    <col min="14" max="14" width="17.85546875" customWidth="1"/>
    <col min="15" max="15" width="4.28515625" customWidth="1"/>
    <col min="16" max="16" width="18.7109375" customWidth="1"/>
    <col min="17" max="17" width="12.28515625" customWidth="1"/>
    <col min="18" max="18" width="11.140625" customWidth="1"/>
    <col min="19" max="19" width="15.7109375" customWidth="1"/>
    <col min="20" max="20" width="4.140625" customWidth="1"/>
    <col min="21" max="21" width="29.140625" customWidth="1"/>
    <col min="22" max="22" width="16" customWidth="1"/>
    <col min="47" max="55" width="13.7109375" customWidth="1"/>
  </cols>
  <sheetData>
    <row r="1" spans="1:54" ht="24.75" customHeight="1" thickBot="1" x14ac:dyDescent="0.5">
      <c r="A1" s="117">
        <v>41639</v>
      </c>
      <c r="B1" s="142">
        <f>EDATE(Januar!$A$1,4)</f>
        <v>41759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54" s="21" customFormat="1" ht="24.75" customHeight="1" thickBot="1" x14ac:dyDescent="0.5">
      <c r="B2" s="59"/>
      <c r="C2" s="59"/>
      <c r="D2" s="59"/>
      <c r="E2" s="60"/>
      <c r="F2" s="60"/>
      <c r="G2" s="60"/>
      <c r="H2" s="60"/>
      <c r="I2" s="59"/>
      <c r="J2" s="59"/>
      <c r="K2" s="59"/>
      <c r="L2" s="59"/>
      <c r="M2" s="59"/>
      <c r="N2" s="59"/>
    </row>
    <row r="3" spans="1:54" ht="19.5" thickBot="1" x14ac:dyDescent="0.35">
      <c r="B3" s="58"/>
      <c r="C3" s="58"/>
      <c r="D3" s="58"/>
      <c r="E3" s="145" t="s">
        <v>0</v>
      </c>
      <c r="F3" s="146"/>
      <c r="G3" s="146"/>
      <c r="H3" s="147"/>
      <c r="I3" s="58"/>
      <c r="J3" s="58"/>
      <c r="K3" s="58"/>
      <c r="L3" s="58"/>
      <c r="M3" s="58"/>
      <c r="N3" s="58"/>
      <c r="O3" s="2"/>
    </row>
    <row r="4" spans="1:54" ht="19.5" thickBot="1" x14ac:dyDescent="0.35">
      <c r="B4" s="41" t="s">
        <v>4</v>
      </c>
      <c r="C4" s="41" t="s">
        <v>5</v>
      </c>
      <c r="D4" s="42"/>
      <c r="E4" s="41" t="s">
        <v>1</v>
      </c>
      <c r="F4" s="41" t="s">
        <v>2</v>
      </c>
      <c r="G4" s="41" t="s">
        <v>1</v>
      </c>
      <c r="H4" s="41" t="s">
        <v>2</v>
      </c>
      <c r="I4" s="41" t="s">
        <v>3</v>
      </c>
      <c r="J4" s="41" t="s">
        <v>7</v>
      </c>
      <c r="K4" s="41" t="s">
        <v>6</v>
      </c>
      <c r="L4" s="41" t="s">
        <v>11</v>
      </c>
      <c r="M4" s="41" t="s">
        <v>56</v>
      </c>
      <c r="N4" s="41" t="s">
        <v>71</v>
      </c>
      <c r="O4" s="20"/>
      <c r="P4" s="150" t="s">
        <v>10</v>
      </c>
      <c r="Q4" s="151"/>
      <c r="R4" s="151"/>
      <c r="S4" s="152"/>
      <c r="U4" s="148" t="s">
        <v>81</v>
      </c>
      <c r="V4" s="149"/>
      <c r="AU4" s="36" t="s">
        <v>46</v>
      </c>
      <c r="AV4" s="36" t="s">
        <v>46</v>
      </c>
      <c r="AW4" s="37" t="s">
        <v>66</v>
      </c>
      <c r="AX4" s="36" t="s">
        <v>67</v>
      </c>
      <c r="AY4" s="6" t="s">
        <v>3</v>
      </c>
      <c r="AZ4" s="36" t="s">
        <v>7</v>
      </c>
      <c r="BA4" s="36" t="s">
        <v>72</v>
      </c>
      <c r="BB4" s="6" t="s">
        <v>6</v>
      </c>
    </row>
    <row r="5" spans="1:54" ht="21.75" thickBot="1" x14ac:dyDescent="0.4">
      <c r="B5" s="45">
        <f>B1</f>
        <v>41759</v>
      </c>
      <c r="C5" s="46">
        <f>B5</f>
        <v>41759</v>
      </c>
      <c r="D5" s="3"/>
      <c r="E5" s="61"/>
      <c r="F5" s="61"/>
      <c r="G5" s="61"/>
      <c r="H5" s="61"/>
      <c r="I5" s="61" t="str">
        <f t="shared" ref="I5:I35" ca="1" si="0">IF(AZ5=0,"",IF(AY5=0,"",IF(OR(B5&lt;=TODAY(),AZ5),AY5,"")))</f>
        <v/>
      </c>
      <c r="J5" s="49">
        <f>IF(AND(Feiertage!$G$2&lt;&gt;"ja",AV5=1),IF(AZ5&gt;0,BB5+AZ5,BB5),IF(AZ5=0,0, IF(I5&lt;&gt;"",AZ5-I5,AZ5)))+AX5</f>
        <v>0.33333333333333331</v>
      </c>
      <c r="K5" s="61">
        <f>IF(AV5=0,BB5,IF(Feiertage!$G$2="ja","00:00",BB5))</f>
        <v>0.33333333333333331</v>
      </c>
      <c r="L5" s="52" t="str">
        <f t="shared" ref="L5:L18" ca="1" si="1">IF(OR(B5&lt;=TODAY(),J5,AW5="G"),IF(J5&lt;&gt;"",IF(J5-K5=0,"",J5-K5),IF(K5&lt;&gt;"",-K5,"")),"")</f>
        <v/>
      </c>
      <c r="M5" s="50" t="str">
        <f>IF(AV5=1,AU5,IF(LOWER(AW5)=LOWER(Urlaub!$W$19),Urlaub!$S$19,
IF(LOWER(AW5)=LOWER(Urlaub!$W$20),Urlaub!$S$20,
IF(LOWER(AW5)=LOWER(Urlaub!$W$21),Urlaub!$S$21,
IF(LOWER(AW5)=LOWER(Urlaub!$W$22),Urlaub!$S$22,
IF(LOWER(AW5)=LOWER(Urlaub!$W$23),Urlaub!$S$23,
IF(LOWER(AW5)=LOWER(Urlaub!$W$24),Urlaub!$S$24,""))))))&amp;IF(AND(EXACT(LOWER(AW5),AW5),AW5&lt;&gt;0)," 1/2",""))</f>
        <v>1. Mai</v>
      </c>
      <c r="N5" s="51">
        <f t="shared" ref="N5:N32" si="2">24*J5*IF(WEEKDAY(C5)=WEEKDAY($P$6),$S$6,
IF(WEEKDAY(C5)=WEEKDAY($P$7),$S$7,
IF(WEEKDAY(C5)=WEEKDAY($P$8),$S$8,
IF(WEEKDAY(C5)=WEEKDAY($P$9),$S$9,
IF(WEEKDAY(C5)=WEEKDAY($P$10),$S$10,
IF(WEEKDAY(C5)=WEEKDAY($P$11),$S$11,
IF(WEEKDAY(C5)=WEEKDAY($P$12),$S$12,"")))))))</f>
        <v>0</v>
      </c>
      <c r="P5" s="41" t="s">
        <v>8</v>
      </c>
      <c r="Q5" s="41" t="s">
        <v>6</v>
      </c>
      <c r="R5" s="41" t="s">
        <v>3</v>
      </c>
      <c r="S5" s="41" t="s">
        <v>70</v>
      </c>
      <c r="U5" s="112" t="str">
        <f xml:space="preserve"> "Übertrag aus " &amp; IF( MONTH(B1)=1, YEAR(B1)-1, TEXT(EDATE(B1,-1),"MMMM"))</f>
        <v>Übertrag aus April</v>
      </c>
      <c r="V5" s="130">
        <f ca="1">IF(MONTH(B1)&gt;1,INDIRECT(TEXT(EDATE(B1,-1),"MMMM")&amp;"!v10"),"")</f>
        <v>-27.666666666666657</v>
      </c>
      <c r="AU5" t="str">
        <f>IF(AV5=1,VLOOKUP($B5,Feiertage!$B$2:$D$49,3,FALSE),"")</f>
        <v>1. Mai</v>
      </c>
      <c r="AV5">
        <f>IF(IFERROR(MATCH($B5,Feiertage!$B$2:$B$49,0)&gt;0,0),1,0)</f>
        <v>1</v>
      </c>
      <c r="AW5" s="22">
        <f>IFERROR(HLOOKUP(DAY(B5),Urlaub!$C$4:$AG$16,MONTH(B5)+1,FALSE),0)</f>
        <v>0</v>
      </c>
      <c r="AX5" s="38">
        <f t="shared" ref="AX5:AX16" si="3">IFERROR(IF(AW5=0,0,IF(EXACT(LOWER(AW5),AW5),0.5*BB5,BB5)),"")</f>
        <v>0</v>
      </c>
      <c r="AY5" s="7">
        <f t="shared" ref="AY5:AY35" si="4">IFERROR(IF(WEEKDAY(C5)=WEEKDAY($P$6),$R$6,
IF(WEEKDAY(C5)=WEEKDAY($P$7),$R$7,
IF(WEEKDAY(C5)=WEEKDAY($P$8),$R$8,
IF(WEEKDAY(C5)=WEEKDAY($P$9),$R$9,
IF(WEEKDAY(C5)=WEEKDAY($P$10),$R$10,
IF(WEEKDAY(C5)=WEEKDAY($P$11),$R$11,
IF(WEEKDAY(C5)=WEEKDAY($P$12),$R$12,""))))))),"")</f>
        <v>2.0833333333333332E-2</v>
      </c>
      <c r="AZ5" s="5">
        <f t="shared" ref="AZ5:AZ35" si="5">IF(F5,IF(E5,IF(E5&gt;F5,F5+"24:00"-E5,F5-E5),0),0)+IF(G5,IF(G5,IF(G5&gt;H5,H5+"24:00"-G5,H5-G5),0),0)</f>
        <v>0</v>
      </c>
      <c r="BA5" s="39">
        <f>AZ5*24</f>
        <v>0</v>
      </c>
      <c r="BB5" s="5">
        <f t="shared" ref="BB5:BB35" si="6">IFERROR(IF(WEEKDAY(C5)=WEEKDAY($P$6),$Q$6,
IF(WEEKDAY(C5)=WEEKDAY($P$7),$Q$7,
IF(WEEKDAY(C5)=WEEKDAY($P$8),$Q$8,
IF(WEEKDAY(C5)=WEEKDAY($P$9),$Q$9,
IF(WEEKDAY(C5)=WEEKDAY($P$10),$Q$10,
IF(WEEKDAY(C5)=WEEKDAY($P$11),$Q$11,
IF(WEEKDAY(C5)=WEEKDAY($P$12),$Q$12,""))))))),"")</f>
        <v>0.33333333333333331</v>
      </c>
    </row>
    <row r="6" spans="1:54" ht="21" x14ac:dyDescent="0.35">
      <c r="B6" s="43">
        <f>B5+1</f>
        <v>41760</v>
      </c>
      <c r="C6" s="44">
        <f>B6</f>
        <v>41760</v>
      </c>
      <c r="D6" s="3"/>
      <c r="E6" s="62"/>
      <c r="F6" s="62"/>
      <c r="G6" s="62"/>
      <c r="H6" s="62"/>
      <c r="I6" s="62" t="str">
        <f t="shared" ca="1" si="0"/>
        <v/>
      </c>
      <c r="J6" s="52">
        <f>IF(AND(Feiertage!$G$2&lt;&gt;"ja",AV6=1),IF(AZ6&gt;0,BB6+AZ6,BB6),IF(AZ6=0,0, IF(I6&lt;&gt;"",AZ6-I6,AZ6)))+AX6</f>
        <v>0</v>
      </c>
      <c r="K6" s="62">
        <f>IF(AV6=0,BB6,IF(Feiertage!$G$2="ja","00:00",BB6))</f>
        <v>0.33333333333333331</v>
      </c>
      <c r="L6" s="52">
        <f t="shared" ca="1" si="1"/>
        <v>-0.33333333333333331</v>
      </c>
      <c r="M6" s="50" t="str">
        <f>IF(AV6=1,AU6,IF(LOWER(AW6)=LOWER(Urlaub!$W$19),Urlaub!$S$19,
IF(LOWER(AW6)=LOWER(Urlaub!$W$20),Urlaub!$S$20,
IF(LOWER(AW6)=LOWER(Urlaub!$W$21),Urlaub!$S$21,
IF(LOWER(AW6)=LOWER(Urlaub!$W$22),Urlaub!$S$22,
IF(LOWER(AW6)=LOWER(Urlaub!$W$23),Urlaub!$S$23,
IF(LOWER(AW6)=LOWER(Urlaub!$W$24),Urlaub!$S$24,""))))))&amp;IF(AND(EXACT(LOWER(AW6),AW6),AW6&lt;&gt;0)," 1/2",""))</f>
        <v/>
      </c>
      <c r="N6" s="53">
        <f t="shared" si="2"/>
        <v>0</v>
      </c>
      <c r="P6" s="54">
        <v>41639</v>
      </c>
      <c r="Q6" s="63">
        <v>0.33333333333333331</v>
      </c>
      <c r="R6" s="63">
        <v>2.0833333333333332E-2</v>
      </c>
      <c r="S6" s="64"/>
      <c r="U6" s="114" t="s">
        <v>6</v>
      </c>
      <c r="V6" s="113">
        <f>SUM(K5:K35)</f>
        <v>7.6666666666666634</v>
      </c>
      <c r="AU6" t="str">
        <f>IF(AV6=1,VLOOKUP($B6,Feiertage!$B$2:$D$49,3,FALSE),"")</f>
        <v/>
      </c>
      <c r="AV6">
        <f>IF(IFERROR(MATCH($B6,Feiertage!$B$2:$B$49,0)&gt;0,0),1,0)</f>
        <v>0</v>
      </c>
      <c r="AW6" s="22">
        <f>IFERROR(HLOOKUP(DAY(B6),Urlaub!$C$4:$AG$16,MONTH(B6)+1,FALSE),0)</f>
        <v>0</v>
      </c>
      <c r="AX6" s="38">
        <f t="shared" si="3"/>
        <v>0</v>
      </c>
      <c r="AY6" s="7">
        <f t="shared" si="4"/>
        <v>2.0833333333333301E-2</v>
      </c>
      <c r="AZ6" s="5">
        <f t="shared" si="5"/>
        <v>0</v>
      </c>
      <c r="BA6" s="39">
        <f t="shared" ref="BA6:BA35" si="7">AZ6*24</f>
        <v>0</v>
      </c>
      <c r="BB6" s="5">
        <f t="shared" si="6"/>
        <v>0.33333333333333331</v>
      </c>
    </row>
    <row r="7" spans="1:54" ht="21" x14ac:dyDescent="0.35">
      <c r="B7" s="43">
        <f t="shared" ref="B7:B32" si="8">B6+1</f>
        <v>41761</v>
      </c>
      <c r="C7" s="44">
        <f t="shared" ref="C7:C35" si="9">B7</f>
        <v>41761</v>
      </c>
      <c r="D7" s="3"/>
      <c r="E7" s="62"/>
      <c r="F7" s="62"/>
      <c r="G7" s="62"/>
      <c r="H7" s="62"/>
      <c r="I7" s="62" t="str">
        <f t="shared" ca="1" si="0"/>
        <v/>
      </c>
      <c r="J7" s="52">
        <f>IF(AND(Feiertage!$G$2&lt;&gt;"ja",AV7=1),IF(AZ7&gt;0,BB7+AZ7,BB7),IF(AZ7=0,0, IF(I7&lt;&gt;"",AZ7-I7,AZ7)))+AX7</f>
        <v>0</v>
      </c>
      <c r="K7" s="62">
        <f>IF(AV7=0,BB7,IF(Feiertage!$G$2="ja","00:00",BB7))</f>
        <v>0.33333333333333331</v>
      </c>
      <c r="L7" s="52">
        <f t="shared" ca="1" si="1"/>
        <v>-0.33333333333333331</v>
      </c>
      <c r="M7" s="50" t="str">
        <f>IF(AV7=1,AU7,IF(LOWER(AW7)=LOWER(Urlaub!$W$19),Urlaub!$S$19,
IF(LOWER(AW7)=LOWER(Urlaub!$W$20),Urlaub!$S$20,
IF(LOWER(AW7)=LOWER(Urlaub!$W$21),Urlaub!$S$21,
IF(LOWER(AW7)=LOWER(Urlaub!$W$22),Urlaub!$S$22,
IF(LOWER(AW7)=LOWER(Urlaub!$W$23),Urlaub!$S$23,
IF(LOWER(AW7)=LOWER(Urlaub!$W$24),Urlaub!$S$24,""))))))&amp;IF(AND(EXACT(LOWER(AW7),AW7),AW7&lt;&gt;0)," 1/2",""))</f>
        <v/>
      </c>
      <c r="N7" s="53">
        <f t="shared" si="2"/>
        <v>0</v>
      </c>
      <c r="P7" s="55">
        <v>41640</v>
      </c>
      <c r="Q7" s="65">
        <v>0.33333333333333331</v>
      </c>
      <c r="R7" s="63">
        <v>2.0833333333333332E-2</v>
      </c>
      <c r="S7" s="66"/>
      <c r="U7" s="114" t="s">
        <v>7</v>
      </c>
      <c r="V7" s="113">
        <f>SUM(J5:J35)</f>
        <v>1</v>
      </c>
      <c r="AU7" t="str">
        <f>IF(AV7=1,VLOOKUP($B7,Feiertage!$B$2:$D$49,3,FALSE),"")</f>
        <v/>
      </c>
      <c r="AV7">
        <f>IF(IFERROR(MATCH($B7,Feiertage!$B$2:$B$49,0)&gt;0,0),1,0)</f>
        <v>0</v>
      </c>
      <c r="AW7" s="22">
        <f>IFERROR(HLOOKUP(DAY(B7),Urlaub!$C$4:$AG$16,MONTH(B7)+1,FALSE),0)</f>
        <v>0</v>
      </c>
      <c r="AX7" s="38">
        <f t="shared" si="3"/>
        <v>0</v>
      </c>
      <c r="AY7" s="7">
        <f t="shared" si="4"/>
        <v>2.0833333333333301E-2</v>
      </c>
      <c r="AZ7" s="5">
        <f t="shared" si="5"/>
        <v>0</v>
      </c>
      <c r="BA7" s="39">
        <f t="shared" si="7"/>
        <v>0</v>
      </c>
      <c r="BB7" s="5">
        <f t="shared" si="6"/>
        <v>0.33333333333333331</v>
      </c>
    </row>
    <row r="8" spans="1:54" ht="21" x14ac:dyDescent="0.35">
      <c r="B8" s="43">
        <f t="shared" si="8"/>
        <v>41762</v>
      </c>
      <c r="C8" s="44">
        <f t="shared" si="9"/>
        <v>41762</v>
      </c>
      <c r="D8" s="3"/>
      <c r="E8" s="62"/>
      <c r="F8" s="62"/>
      <c r="G8" s="62"/>
      <c r="H8" s="62"/>
      <c r="I8" s="62" t="str">
        <f t="shared" ca="1" si="0"/>
        <v/>
      </c>
      <c r="J8" s="52">
        <f>IF(AND(Feiertage!$G$2&lt;&gt;"ja",AV8=1),IF(AZ8&gt;0,BB8+AZ8,BB8),IF(AZ8=0,0, IF(I8&lt;&gt;"",AZ8-I8,AZ8)))+AX8</f>
        <v>0</v>
      </c>
      <c r="K8" s="62">
        <f>IF(AV8=0,BB8,IF(Feiertage!$G$2="ja","00:00",BB8))</f>
        <v>0.33333333333333331</v>
      </c>
      <c r="L8" s="52">
        <f t="shared" ca="1" si="1"/>
        <v>-0.33333333333333331</v>
      </c>
      <c r="M8" s="50" t="str">
        <f>IF(AV8=1,AU8,IF(LOWER(AW8)=LOWER(Urlaub!$W$19),Urlaub!$S$19,
IF(LOWER(AW8)=LOWER(Urlaub!$W$20),Urlaub!$S$20,
IF(LOWER(AW8)=LOWER(Urlaub!$W$21),Urlaub!$S$21,
IF(LOWER(AW8)=LOWER(Urlaub!$W$22),Urlaub!$S$22,
IF(LOWER(AW8)=LOWER(Urlaub!$W$23),Urlaub!$S$23,
IF(LOWER(AW8)=LOWER(Urlaub!$W$24),Urlaub!$S$24,""))))))&amp;IF(AND(EXACT(LOWER(AW8),AW8),AW8&lt;&gt;0)," 1/2",""))</f>
        <v/>
      </c>
      <c r="N8" s="53">
        <f t="shared" si="2"/>
        <v>0</v>
      </c>
      <c r="P8" s="55">
        <v>41641</v>
      </c>
      <c r="Q8" s="65">
        <v>0.33333333333333331</v>
      </c>
      <c r="R8" s="63">
        <v>2.0833333333333301E-2</v>
      </c>
      <c r="S8" s="66"/>
      <c r="U8" s="115" t="str">
        <f xml:space="preserve"> "Saldo " &amp; TEXT(B1,"MMMM")</f>
        <v>Saldo Mai</v>
      </c>
      <c r="V8" s="132">
        <f ca="1">SUM(L5:L35)</f>
        <v>-6.6666666666666643</v>
      </c>
      <c r="AU8" t="str">
        <f>IF(AV8=1,VLOOKUP($B8,Feiertage!$B$2:$D$49,3,FALSE),"")</f>
        <v/>
      </c>
      <c r="AV8">
        <f>IF(IFERROR(MATCH($B8,Feiertage!$B$2:$B$49,0)&gt;0,0),1,0)</f>
        <v>0</v>
      </c>
      <c r="AW8" s="22">
        <f>IFERROR(HLOOKUP(DAY(B8),Urlaub!$C$4:$AG$16,MONTH(B8)+1,FALSE),0)</f>
        <v>0</v>
      </c>
      <c r="AX8" s="38">
        <f t="shared" si="3"/>
        <v>0</v>
      </c>
      <c r="AY8" s="7">
        <f t="shared" si="4"/>
        <v>2.0833333333333301E-2</v>
      </c>
      <c r="AZ8" s="5">
        <f t="shared" si="5"/>
        <v>0</v>
      </c>
      <c r="BA8" s="39">
        <f t="shared" si="7"/>
        <v>0</v>
      </c>
      <c r="BB8" s="5">
        <f t="shared" si="6"/>
        <v>0.33333333333333331</v>
      </c>
    </row>
    <row r="9" spans="1:54" ht="18.75" x14ac:dyDescent="0.3">
      <c r="B9" s="43">
        <f t="shared" si="8"/>
        <v>41763</v>
      </c>
      <c r="C9" s="44">
        <f t="shared" si="9"/>
        <v>41763</v>
      </c>
      <c r="D9" s="3"/>
      <c r="E9" s="62"/>
      <c r="F9" s="62"/>
      <c r="G9" s="62"/>
      <c r="H9" s="62"/>
      <c r="I9" s="62" t="str">
        <f t="shared" ca="1" si="0"/>
        <v/>
      </c>
      <c r="J9" s="52">
        <f>IF(AND(Feiertage!$G$2&lt;&gt;"ja",AV9=1),IF(AZ9&gt;0,BB9+AZ9,BB9),IF(AZ9=0,0, IF(I9&lt;&gt;"",AZ9-I9,AZ9)))+AX9</f>
        <v>0</v>
      </c>
      <c r="K9" s="62">
        <f>IF(AV9=0,BB9,IF(Feiertage!$G$2="ja","00:00",BB9))</f>
        <v>0</v>
      </c>
      <c r="L9" s="52" t="str">
        <f t="shared" ca="1" si="1"/>
        <v/>
      </c>
      <c r="M9" s="50" t="str">
        <f>IF(AV9=1,AU9,IF(LOWER(AW9)=LOWER(Urlaub!$W$19),Urlaub!$S$19,
IF(LOWER(AW9)=LOWER(Urlaub!$W$20),Urlaub!$S$20,
IF(LOWER(AW9)=LOWER(Urlaub!$W$21),Urlaub!$S$21,
IF(LOWER(AW9)=LOWER(Urlaub!$W$22),Urlaub!$S$22,
IF(LOWER(AW9)=LOWER(Urlaub!$W$23),Urlaub!$S$23,
IF(LOWER(AW9)=LOWER(Urlaub!$W$24),Urlaub!$S$24,""))))))&amp;IF(AND(EXACT(LOWER(AW9),AW9),AW9&lt;&gt;0)," 1/2",""))</f>
        <v/>
      </c>
      <c r="N9" s="53">
        <f t="shared" si="2"/>
        <v>0</v>
      </c>
      <c r="P9" s="55">
        <v>41642</v>
      </c>
      <c r="Q9" s="65">
        <v>0.33333333333333331</v>
      </c>
      <c r="R9" s="63">
        <v>2.0833333333333301E-2</v>
      </c>
      <c r="S9" s="66"/>
      <c r="U9" s="131" t="s">
        <v>85</v>
      </c>
      <c r="V9" s="134"/>
      <c r="AU9" t="str">
        <f>IF(AV9=1,VLOOKUP($B9,Feiertage!$B$2:$D$49,3,FALSE),"")</f>
        <v/>
      </c>
      <c r="AV9">
        <f>IF(IFERROR(MATCH($B9,Feiertage!$B$2:$B$49,0)&gt;0,0),1,0)</f>
        <v>0</v>
      </c>
      <c r="AW9" s="22">
        <f>IFERROR(HLOOKUP(DAY(B9),Urlaub!$C$4:$AG$16,MONTH(B9)+1,FALSE),0)</f>
        <v>0</v>
      </c>
      <c r="AX9" s="38">
        <f t="shared" si="3"/>
        <v>0</v>
      </c>
      <c r="AY9" s="7">
        <f t="shared" si="4"/>
        <v>2.0833333333333301E-2</v>
      </c>
      <c r="AZ9" s="5">
        <f t="shared" si="5"/>
        <v>0</v>
      </c>
      <c r="BA9" s="39">
        <f t="shared" si="7"/>
        <v>0</v>
      </c>
      <c r="BB9" s="5">
        <f t="shared" si="6"/>
        <v>0</v>
      </c>
    </row>
    <row r="10" spans="1:54" ht="21.75" thickBot="1" x14ac:dyDescent="0.4">
      <c r="B10" s="43">
        <f t="shared" si="8"/>
        <v>41764</v>
      </c>
      <c r="C10" s="44">
        <f t="shared" si="9"/>
        <v>41764</v>
      </c>
      <c r="D10" s="3"/>
      <c r="E10" s="62"/>
      <c r="F10" s="62"/>
      <c r="G10" s="62"/>
      <c r="H10" s="62"/>
      <c r="I10" s="62" t="str">
        <f t="shared" ca="1" si="0"/>
        <v/>
      </c>
      <c r="J10" s="52">
        <f>IF(AND(Feiertage!$G$2&lt;&gt;"ja",AV10=1),IF(AZ10&gt;0,BB10+AZ10,BB10),IF(AZ10=0,0, IF(I10&lt;&gt;"",AZ10-I10,AZ10)))+AX10</f>
        <v>0</v>
      </c>
      <c r="K10" s="62">
        <f>IF(AV10=0,BB10,IF(Feiertage!$G$2="ja","00:00",BB10))</f>
        <v>0</v>
      </c>
      <c r="L10" s="52" t="str">
        <f t="shared" ca="1" si="1"/>
        <v/>
      </c>
      <c r="M10" s="50" t="str">
        <f>IF(AV10=1,AU10,IF(LOWER(AW10)=LOWER(Urlaub!$W$19),Urlaub!$S$19,
IF(LOWER(AW10)=LOWER(Urlaub!$W$20),Urlaub!$S$20,
IF(LOWER(AW10)=LOWER(Urlaub!$W$21),Urlaub!$S$21,
IF(LOWER(AW10)=LOWER(Urlaub!$W$22),Urlaub!$S$22,
IF(LOWER(AW10)=LOWER(Urlaub!$W$23),Urlaub!$S$23,
IF(LOWER(AW10)=LOWER(Urlaub!$W$24),Urlaub!$S$24,""))))))&amp;IF(AND(EXACT(LOWER(AW10),AW10),AW10&lt;&gt;0)," 1/2",""))</f>
        <v/>
      </c>
      <c r="N10" s="53">
        <f t="shared" si="2"/>
        <v>0</v>
      </c>
      <c r="P10" s="55">
        <v>41643</v>
      </c>
      <c r="Q10" s="65">
        <v>0.33333333333333331</v>
      </c>
      <c r="R10" s="63">
        <v>2.0833333333333301E-2</v>
      </c>
      <c r="S10" s="66"/>
      <c r="U10" s="116" t="str">
        <f xml:space="preserve"> "Übertrag in " &amp;  IF( MONTH(B1)=12, YEAR(B1)+1, TEXT(EDATE(B1,1),"MMMM"))</f>
        <v>Übertrag in Juni</v>
      </c>
      <c r="V10" s="133">
        <f ca="1">IF(V5="",0,V5)+V8+V9</f>
        <v>-34.333333333333321</v>
      </c>
      <c r="AU10" t="str">
        <f>IF(AV10=1,VLOOKUP($B10,Feiertage!$B$2:$D$49,3,FALSE),"")</f>
        <v/>
      </c>
      <c r="AV10">
        <f>IF(IFERROR(MATCH($B10,Feiertage!$B$2:$B$49,0)&gt;0,0),1,0)</f>
        <v>0</v>
      </c>
      <c r="AW10" s="22">
        <f>IFERROR(HLOOKUP(DAY(B10),Urlaub!$C$4:$AG$16,MONTH(B10)+1,FALSE),0)</f>
        <v>0</v>
      </c>
      <c r="AX10" s="38">
        <f t="shared" si="3"/>
        <v>0</v>
      </c>
      <c r="AY10" s="7">
        <f t="shared" si="4"/>
        <v>2.0833333333333301E-2</v>
      </c>
      <c r="AZ10" s="5">
        <f t="shared" si="5"/>
        <v>0</v>
      </c>
      <c r="BA10" s="39">
        <f t="shared" si="7"/>
        <v>0</v>
      </c>
      <c r="BB10" s="5">
        <f t="shared" si="6"/>
        <v>0</v>
      </c>
    </row>
    <row r="11" spans="1:54" ht="18.75" x14ac:dyDescent="0.3">
      <c r="B11" s="43">
        <f t="shared" si="8"/>
        <v>41765</v>
      </c>
      <c r="C11" s="44">
        <f t="shared" si="9"/>
        <v>41765</v>
      </c>
      <c r="D11" s="3"/>
      <c r="E11" s="62"/>
      <c r="F11" s="62"/>
      <c r="G11" s="62"/>
      <c r="H11" s="62"/>
      <c r="I11" s="62" t="str">
        <f t="shared" ca="1" si="0"/>
        <v/>
      </c>
      <c r="J11" s="52">
        <f>IF(AND(Feiertage!$G$2&lt;&gt;"ja",AV11=1),IF(AZ11&gt;0,BB11+AZ11,BB11),IF(AZ11=0,0, IF(I11&lt;&gt;"",AZ11-I11,AZ11)))+AX11</f>
        <v>0</v>
      </c>
      <c r="K11" s="62">
        <f>IF(AV11=0,BB11,IF(Feiertage!$G$2="ja","00:00",BB11))</f>
        <v>0.33333333333333331</v>
      </c>
      <c r="L11" s="52">
        <f t="shared" ca="1" si="1"/>
        <v>-0.33333333333333331</v>
      </c>
      <c r="M11" s="50" t="str">
        <f>IF(AV11=1,AU11,IF(LOWER(AW11)=LOWER(Urlaub!$W$19),Urlaub!$S$19,
IF(LOWER(AW11)=LOWER(Urlaub!$W$20),Urlaub!$S$20,
IF(LOWER(AW11)=LOWER(Urlaub!$W$21),Urlaub!$S$21,
IF(LOWER(AW11)=LOWER(Urlaub!$W$22),Urlaub!$S$22,
IF(LOWER(AW11)=LOWER(Urlaub!$W$23),Urlaub!$S$23,
IF(LOWER(AW11)=LOWER(Urlaub!$W$24),Urlaub!$S$24,""))))))&amp;IF(AND(EXACT(LOWER(AW11),AW11),AW11&lt;&gt;0)," 1/2",""))</f>
        <v/>
      </c>
      <c r="N11" s="53">
        <f t="shared" si="2"/>
        <v>0</v>
      </c>
      <c r="O11" s="21"/>
      <c r="P11" s="79">
        <v>41644</v>
      </c>
      <c r="Q11" s="67">
        <v>0</v>
      </c>
      <c r="R11" s="63">
        <v>2.0833333333333301E-2</v>
      </c>
      <c r="S11" s="66"/>
      <c r="AU11" t="str">
        <f>IF(AV11=1,VLOOKUP($B11,Feiertage!$B$2:$D$49,3,FALSE),"")</f>
        <v/>
      </c>
      <c r="AV11">
        <f>IF(IFERROR(MATCH($B11,Feiertage!$B$2:$B$49,0)&gt;0,0),1,0)</f>
        <v>0</v>
      </c>
      <c r="AW11" s="22">
        <f>IFERROR(HLOOKUP(DAY(B11),Urlaub!$C$4:$AG$16,MONTH(B11)+1,FALSE),0)</f>
        <v>0</v>
      </c>
      <c r="AX11" s="38">
        <f t="shared" si="3"/>
        <v>0</v>
      </c>
      <c r="AY11" s="7">
        <f t="shared" si="4"/>
        <v>2.0833333333333332E-2</v>
      </c>
      <c r="AZ11" s="5">
        <f>IF(F11,IF(E11,IF(E11&gt;F11,F11+"24:00"-E11,F11-E11),0),0)+IF(G11,IF(G11,IF(G11&gt;H11,H11+"24:00"-G11,H11-G11),0),0)</f>
        <v>0</v>
      </c>
      <c r="BA11" s="39">
        <f t="shared" si="7"/>
        <v>0</v>
      </c>
      <c r="BB11" s="5">
        <f t="shared" si="6"/>
        <v>0.33333333333333331</v>
      </c>
    </row>
    <row r="12" spans="1:54" ht="19.5" thickBot="1" x14ac:dyDescent="0.35">
      <c r="B12" s="43">
        <f t="shared" si="8"/>
        <v>41766</v>
      </c>
      <c r="C12" s="44">
        <f t="shared" si="9"/>
        <v>41766</v>
      </c>
      <c r="D12" s="3"/>
      <c r="E12" s="62"/>
      <c r="F12" s="62"/>
      <c r="G12" s="62"/>
      <c r="H12" s="62"/>
      <c r="I12" s="62" t="str">
        <f t="shared" ca="1" si="0"/>
        <v/>
      </c>
      <c r="J12" s="52">
        <f>IF(AND(Feiertage!$G$2&lt;&gt;"ja",AV12=1),IF(AZ12&gt;0,BB12+AZ12,BB12),IF(AZ12=0,0, IF(I12&lt;&gt;"",AZ12-I12,AZ12)))+AX12</f>
        <v>0</v>
      </c>
      <c r="K12" s="62">
        <f>IF(AV12=0,BB12,IF(Feiertage!$G$2="ja","00:00",BB12))</f>
        <v>0.33333333333333331</v>
      </c>
      <c r="L12" s="52">
        <f t="shared" ca="1" si="1"/>
        <v>-0.33333333333333331</v>
      </c>
      <c r="M12" s="50" t="str">
        <f>IF(AV12=1,AU12,IF(LOWER(AW12)=LOWER(Urlaub!$W$19),Urlaub!$S$19,
IF(LOWER(AW12)=LOWER(Urlaub!$W$20),Urlaub!$S$20,
IF(LOWER(AW12)=LOWER(Urlaub!$W$21),Urlaub!$S$21,
IF(LOWER(AW12)=LOWER(Urlaub!$W$22),Urlaub!$S$22,
IF(LOWER(AW12)=LOWER(Urlaub!$W$23),Urlaub!$S$23,
IF(LOWER(AW12)=LOWER(Urlaub!$W$24),Urlaub!$S$24,""))))))&amp;IF(AND(EXACT(LOWER(AW12),AW12),AW12&lt;&gt;0)," 1/2",""))</f>
        <v/>
      </c>
      <c r="N12" s="53">
        <f t="shared" si="2"/>
        <v>0</v>
      </c>
      <c r="P12" s="80">
        <v>41645</v>
      </c>
      <c r="Q12" s="68">
        <v>0</v>
      </c>
      <c r="R12" s="110">
        <v>2.0833333333333301E-2</v>
      </c>
      <c r="S12" s="69"/>
      <c r="AU12" t="str">
        <f>IF(AV12=1,VLOOKUP($B12,Feiertage!$B$2:$D$49,3,FALSE),"")</f>
        <v/>
      </c>
      <c r="AV12">
        <f>IF(IFERROR(MATCH($B12,Feiertage!$B$2:$B$49,0)&gt;0,0),1,0)</f>
        <v>0</v>
      </c>
      <c r="AW12" s="22">
        <f>IFERROR(HLOOKUP(DAY(B12),Urlaub!$C$4:$AG$16,MONTH(B12)+1,FALSE),0)</f>
        <v>0</v>
      </c>
      <c r="AX12" s="38">
        <f t="shared" si="3"/>
        <v>0</v>
      </c>
      <c r="AY12" s="7">
        <f t="shared" si="4"/>
        <v>2.0833333333333332E-2</v>
      </c>
      <c r="AZ12" s="5">
        <f>IF(F12,IF(E12,IF(E12&gt;F12,F12+"24:00"-E12,F12-E12),0),0)+IF(G12,IF(G12,IF(G12&gt;H12,H12+"24:00"-G12,H12-G12),0),0)</f>
        <v>0</v>
      </c>
      <c r="BA12" s="39">
        <f t="shared" si="7"/>
        <v>0</v>
      </c>
      <c r="BB12" s="5">
        <f t="shared" si="6"/>
        <v>0.33333333333333331</v>
      </c>
    </row>
    <row r="13" spans="1:54" ht="19.5" thickBot="1" x14ac:dyDescent="0.35">
      <c r="B13" s="43">
        <f t="shared" si="8"/>
        <v>41767</v>
      </c>
      <c r="C13" s="44">
        <f t="shared" si="9"/>
        <v>41767</v>
      </c>
      <c r="D13" s="3"/>
      <c r="E13" s="62"/>
      <c r="F13" s="62"/>
      <c r="G13" s="62"/>
      <c r="H13" s="62"/>
      <c r="I13" s="62" t="str">
        <f t="shared" ca="1" si="0"/>
        <v/>
      </c>
      <c r="J13" s="52">
        <f>IF(AND(Feiertage!$G$2&lt;&gt;"ja",AV13=1),IF(AZ13&gt;0,BB13+AZ13,BB13),IF(AZ13=0,0, IF(I13&lt;&gt;"",AZ13-I13,AZ13)))+AX13</f>
        <v>0</v>
      </c>
      <c r="K13" s="62">
        <f>IF(AV13=0,BB13,IF(Feiertage!$G$2="ja","00:00",BB13))</f>
        <v>0.33333333333333331</v>
      </c>
      <c r="L13" s="52">
        <f t="shared" ca="1" si="1"/>
        <v>-0.33333333333333331</v>
      </c>
      <c r="M13" s="50" t="str">
        <f>IF(AV13=1,AU13,IF(LOWER(AW13)=LOWER(Urlaub!$W$19),Urlaub!$S$19,
IF(LOWER(AW13)=LOWER(Urlaub!$W$20),Urlaub!$S$20,
IF(LOWER(AW13)=LOWER(Urlaub!$W$21),Urlaub!$S$21,
IF(LOWER(AW13)=LOWER(Urlaub!$W$22),Urlaub!$S$22,
IF(LOWER(AW13)=LOWER(Urlaub!$W$23),Urlaub!$S$23,
IF(LOWER(AW13)=LOWER(Urlaub!$W$24),Urlaub!$S$24,""))))))&amp;IF(AND(EXACT(LOWER(AW13),AW13),AW13&lt;&gt;0)," 1/2",""))</f>
        <v/>
      </c>
      <c r="N13" s="53">
        <f t="shared" si="2"/>
        <v>0</v>
      </c>
      <c r="P13" s="56" t="s">
        <v>9</v>
      </c>
      <c r="Q13" s="57">
        <f>SUM(Q6:Q12)</f>
        <v>1.6666666666666665</v>
      </c>
      <c r="R13" s="4"/>
      <c r="Y13" s="7"/>
      <c r="AU13" t="str">
        <f>IF(AV13=1,VLOOKUP($B13,Feiertage!$B$2:$D$49,3,FALSE),"")</f>
        <v/>
      </c>
      <c r="AV13">
        <f>IF(IFERROR(MATCH($B13,Feiertage!$B$2:$B$49,0)&gt;0,0),1,0)</f>
        <v>0</v>
      </c>
      <c r="AW13" s="22">
        <f>IFERROR(HLOOKUP(DAY(B13),Urlaub!$C$4:$AG$16,MONTH(B13)+1,FALSE),0)</f>
        <v>0</v>
      </c>
      <c r="AX13" s="38">
        <f t="shared" si="3"/>
        <v>0</v>
      </c>
      <c r="AY13" s="7">
        <f t="shared" si="4"/>
        <v>2.0833333333333301E-2</v>
      </c>
      <c r="AZ13" s="5">
        <f t="shared" si="5"/>
        <v>0</v>
      </c>
      <c r="BA13" s="39">
        <f t="shared" si="7"/>
        <v>0</v>
      </c>
      <c r="BB13" s="5">
        <f t="shared" si="6"/>
        <v>0.33333333333333331</v>
      </c>
    </row>
    <row r="14" spans="1:54" ht="18.75" x14ac:dyDescent="0.3">
      <c r="B14" s="43">
        <f t="shared" si="8"/>
        <v>41768</v>
      </c>
      <c r="C14" s="44">
        <f t="shared" si="9"/>
        <v>41768</v>
      </c>
      <c r="D14" s="3"/>
      <c r="E14" s="62"/>
      <c r="F14" s="62"/>
      <c r="G14" s="62"/>
      <c r="H14" s="62"/>
      <c r="I14" s="62" t="str">
        <f t="shared" ca="1" si="0"/>
        <v/>
      </c>
      <c r="J14" s="52">
        <f>IF(AND(Feiertage!$G$2&lt;&gt;"ja",AV14=1),IF(AZ14&gt;0,BB14+AZ14,BB14),IF(AZ14=0,0, IF(I14&lt;&gt;"",AZ14-I14,AZ14)))+AX14</f>
        <v>0.33333333333333331</v>
      </c>
      <c r="K14" s="62">
        <f>IF(AV14=0,BB14,IF(Feiertage!$G$2="ja","00:00",BB14))</f>
        <v>0.33333333333333331</v>
      </c>
      <c r="L14" s="52" t="str">
        <f t="shared" ca="1" si="1"/>
        <v/>
      </c>
      <c r="M14" s="50" t="str">
        <f>IF(AV14=1,AU14,IF(LOWER(AW14)=LOWER(Urlaub!$W$19),Urlaub!$S$19,
IF(LOWER(AW14)=LOWER(Urlaub!$W$20),Urlaub!$S$20,
IF(LOWER(AW14)=LOWER(Urlaub!$W$21),Urlaub!$S$21,
IF(LOWER(AW14)=LOWER(Urlaub!$W$22),Urlaub!$S$22,
IF(LOWER(AW14)=LOWER(Urlaub!$W$23),Urlaub!$S$23,
IF(LOWER(AW14)=LOWER(Urlaub!$W$24),Urlaub!$S$24,""))))))&amp;IF(AND(EXACT(LOWER(AW14),AW14),AW14&lt;&gt;0)," 1/2",""))</f>
        <v>Christi Himmelfahrt</v>
      </c>
      <c r="N14" s="53">
        <f t="shared" si="2"/>
        <v>0</v>
      </c>
      <c r="O14" s="6"/>
      <c r="AU14" t="str">
        <f>IF(AV14=1,VLOOKUP($B14,Feiertage!$B$2:$D$49,3,FALSE),"")</f>
        <v>Christi Himmelfahrt</v>
      </c>
      <c r="AV14">
        <f>IF(IFERROR(MATCH($B14,Feiertage!$B$2:$B$49,0)&gt;0,0),1,0)</f>
        <v>1</v>
      </c>
      <c r="AW14" s="22">
        <f>IFERROR(HLOOKUP(DAY(B14),Urlaub!$C$4:$AG$16,MONTH(B14)+1,FALSE),0)</f>
        <v>0</v>
      </c>
      <c r="AX14" s="38">
        <f t="shared" si="3"/>
        <v>0</v>
      </c>
      <c r="AY14" s="7">
        <f t="shared" si="4"/>
        <v>2.0833333333333301E-2</v>
      </c>
      <c r="AZ14" s="5">
        <f t="shared" si="5"/>
        <v>0</v>
      </c>
      <c r="BA14" s="39">
        <f t="shared" si="7"/>
        <v>0</v>
      </c>
      <c r="BB14" s="5">
        <f t="shared" si="6"/>
        <v>0.33333333333333331</v>
      </c>
    </row>
    <row r="15" spans="1:54" ht="19.5" thickBot="1" x14ac:dyDescent="0.35">
      <c r="B15" s="43">
        <f t="shared" si="8"/>
        <v>41769</v>
      </c>
      <c r="C15" s="44">
        <f t="shared" si="9"/>
        <v>41769</v>
      </c>
      <c r="D15" s="3"/>
      <c r="E15" s="62"/>
      <c r="F15" s="62"/>
      <c r="G15" s="62"/>
      <c r="H15" s="62"/>
      <c r="I15" s="62" t="str">
        <f t="shared" ca="1" si="0"/>
        <v/>
      </c>
      <c r="J15" s="52">
        <f>IF(AND(Feiertage!$G$2&lt;&gt;"ja",AV15=1),IF(AZ15&gt;0,BB15+AZ15,BB15),IF(AZ15=0,0, IF(I15&lt;&gt;"",AZ15-I15,AZ15)))+AX15</f>
        <v>0</v>
      </c>
      <c r="K15" s="62">
        <f>IF(AV15=0,BB15,IF(Feiertage!$G$2="ja","00:00",BB15))</f>
        <v>0.33333333333333331</v>
      </c>
      <c r="L15" s="52">
        <f t="shared" ca="1" si="1"/>
        <v>-0.33333333333333331</v>
      </c>
      <c r="M15" s="50" t="str">
        <f>IF(AV15=1,AU15,IF(LOWER(AW15)=LOWER(Urlaub!$W$19),Urlaub!$S$19,
IF(LOWER(AW15)=LOWER(Urlaub!$W$20),Urlaub!$S$20,
IF(LOWER(AW15)=LOWER(Urlaub!$W$21),Urlaub!$S$21,
IF(LOWER(AW15)=LOWER(Urlaub!$W$22),Urlaub!$S$22,
IF(LOWER(AW15)=LOWER(Urlaub!$W$23),Urlaub!$S$23,
IF(LOWER(AW15)=LOWER(Urlaub!$W$24),Urlaub!$S$24,""))))))&amp;IF(AND(EXACT(LOWER(AW15),AW15),AW15&lt;&gt;0)," 1/2",""))</f>
        <v/>
      </c>
      <c r="N15" s="53">
        <f t="shared" si="2"/>
        <v>0</v>
      </c>
      <c r="P15" s="153" t="s">
        <v>86</v>
      </c>
      <c r="Q15" s="154"/>
      <c r="R15" s="154"/>
      <c r="S15" s="154"/>
      <c r="T15" s="154"/>
      <c r="U15" s="154"/>
      <c r="V15" s="154"/>
      <c r="AU15" t="str">
        <f>IF(AV15=1,VLOOKUP($B15,Feiertage!$B$2:$D$49,3,FALSE),"")</f>
        <v/>
      </c>
      <c r="AV15">
        <f>IF(IFERROR(MATCH($B15,Feiertage!$B$2:$B$49,0)&gt;0,0),1,0)</f>
        <v>0</v>
      </c>
      <c r="AW15" s="22">
        <f>IFERROR(HLOOKUP(DAY(B15),Urlaub!$C$4:$AG$16,MONTH(B15)+1,FALSE),0)</f>
        <v>0</v>
      </c>
      <c r="AX15" s="38">
        <f t="shared" si="3"/>
        <v>0</v>
      </c>
      <c r="AY15" s="7">
        <f t="shared" si="4"/>
        <v>2.0833333333333301E-2</v>
      </c>
      <c r="AZ15" s="5">
        <f t="shared" si="5"/>
        <v>0</v>
      </c>
      <c r="BA15" s="39">
        <f t="shared" si="7"/>
        <v>0</v>
      </c>
      <c r="BB15" s="5">
        <f t="shared" si="6"/>
        <v>0.33333333333333331</v>
      </c>
    </row>
    <row r="16" spans="1:54" ht="18.75" x14ac:dyDescent="0.3">
      <c r="B16" s="43">
        <f t="shared" si="8"/>
        <v>41770</v>
      </c>
      <c r="C16" s="44">
        <f t="shared" si="9"/>
        <v>41770</v>
      </c>
      <c r="D16" s="3"/>
      <c r="E16" s="62"/>
      <c r="F16" s="62"/>
      <c r="G16" s="62"/>
      <c r="H16" s="62"/>
      <c r="I16" s="62" t="str">
        <f t="shared" ca="1" si="0"/>
        <v/>
      </c>
      <c r="J16" s="52">
        <f>IF(AND(Feiertage!$G$2&lt;&gt;"ja",AV16=1),IF(AZ16&gt;0,BB16+AZ16,BB16),IF(AZ16=0,0, IF(I16&lt;&gt;"",AZ16-I16,AZ16)))+AX16</f>
        <v>0</v>
      </c>
      <c r="K16" s="62">
        <f>IF(AV16=0,BB16,IF(Feiertage!$G$2="ja","00:00",BB16))</f>
        <v>0</v>
      </c>
      <c r="L16" s="52" t="str">
        <f t="shared" ca="1" si="1"/>
        <v/>
      </c>
      <c r="M16" s="50" t="str">
        <f>IF(AV16=1,AU16,IF(LOWER(AW16)=LOWER(Urlaub!$W$19),Urlaub!$S$19,
IF(LOWER(AW16)=LOWER(Urlaub!$W$20),Urlaub!$S$20,
IF(LOWER(AW16)=LOWER(Urlaub!$W$21),Urlaub!$S$21,
IF(LOWER(AW16)=LOWER(Urlaub!$W$22),Urlaub!$S$22,
IF(LOWER(AW16)=LOWER(Urlaub!$W$23),Urlaub!$S$23,
IF(LOWER(AW16)=LOWER(Urlaub!$W$24),Urlaub!$S$24,""))))))&amp;IF(AND(EXACT(LOWER(AW16),AW16),AW16&lt;&gt;0)," 1/2",""))</f>
        <v/>
      </c>
      <c r="N16" s="53">
        <f t="shared" si="2"/>
        <v>0</v>
      </c>
      <c r="P16" s="155"/>
      <c r="Q16" s="156"/>
      <c r="R16" s="156"/>
      <c r="S16" s="156"/>
      <c r="T16" s="156"/>
      <c r="U16" s="156"/>
      <c r="V16" s="157"/>
      <c r="AU16" t="str">
        <f>IF(AV16=1,VLOOKUP($B16,Feiertage!$B$2:$D$49,3,FALSE),"")</f>
        <v/>
      </c>
      <c r="AV16">
        <f>IF(IFERROR(MATCH($B16,Feiertage!$B$2:$B$49,0)&gt;0,0),1,0)</f>
        <v>0</v>
      </c>
      <c r="AW16" s="22">
        <f>IFERROR(HLOOKUP(DAY(B16),Urlaub!$C$4:$AG$16,MONTH(B16)+1,FALSE),0)</f>
        <v>0</v>
      </c>
      <c r="AX16" s="38">
        <f t="shared" si="3"/>
        <v>0</v>
      </c>
      <c r="AY16" s="7">
        <f t="shared" si="4"/>
        <v>2.0833333333333301E-2</v>
      </c>
      <c r="AZ16" s="5">
        <f t="shared" si="5"/>
        <v>0</v>
      </c>
      <c r="BA16" s="39">
        <f t="shared" si="7"/>
        <v>0</v>
      </c>
      <c r="BB16" s="5">
        <f t="shared" si="6"/>
        <v>0</v>
      </c>
    </row>
    <row r="17" spans="2:54" ht="18.75" x14ac:dyDescent="0.3">
      <c r="B17" s="43">
        <f t="shared" si="8"/>
        <v>41771</v>
      </c>
      <c r="C17" s="44">
        <f t="shared" si="9"/>
        <v>41771</v>
      </c>
      <c r="D17" s="3"/>
      <c r="E17" s="62"/>
      <c r="F17" s="62"/>
      <c r="G17" s="62"/>
      <c r="H17" s="62"/>
      <c r="I17" s="62" t="str">
        <f t="shared" ca="1" si="0"/>
        <v/>
      </c>
      <c r="J17" s="52">
        <f>IF(AND(Feiertage!$G$2&lt;&gt;"ja",AV17=1),IF(AZ17&gt;0,BB17+AZ17,BB17),IF(AZ17=0,0, IF(I17&lt;&gt;"",AZ17-I17,AZ17)))+AX17</f>
        <v>0</v>
      </c>
      <c r="K17" s="62">
        <f>IF(AV17=0,BB17,IF(Feiertage!$G$2="ja","00:00",BB17))</f>
        <v>0</v>
      </c>
      <c r="L17" s="52" t="str">
        <f t="shared" ca="1" si="1"/>
        <v/>
      </c>
      <c r="M17" s="50" t="str">
        <f>IF(AV17=1,AU17,IF(LOWER(AW17)=LOWER(Urlaub!$W$19),Urlaub!$S$19,
IF(LOWER(AW17)=LOWER(Urlaub!$W$20),Urlaub!$S$20,
IF(LOWER(AW17)=LOWER(Urlaub!$W$21),Urlaub!$S$21,
IF(LOWER(AW17)=LOWER(Urlaub!$W$22),Urlaub!$S$22,
IF(LOWER(AW17)=LOWER(Urlaub!$W$23),Urlaub!$S$23,
IF(LOWER(AW17)=LOWER(Urlaub!$W$24),Urlaub!$S$24,""))))))&amp;IF(AND(EXACT(LOWER(AW17),AW17),AW17&lt;&gt;0)," 1/2",""))</f>
        <v/>
      </c>
      <c r="N17" s="53">
        <f t="shared" si="2"/>
        <v>0</v>
      </c>
      <c r="P17" s="158"/>
      <c r="Q17" s="159"/>
      <c r="R17" s="159"/>
      <c r="S17" s="159"/>
      <c r="T17" s="159"/>
      <c r="U17" s="159"/>
      <c r="V17" s="160"/>
      <c r="AU17" t="str">
        <f>IF(AV17=1,VLOOKUP($B17,Feiertage!$B$2:$D$49,3,FALSE),"")</f>
        <v/>
      </c>
      <c r="AV17">
        <f>IF(IFERROR(MATCH($B17,Feiertage!$B$2:$B$49,0)&gt;0,0),1,0)</f>
        <v>0</v>
      </c>
      <c r="AW17" s="22">
        <f>IFERROR(HLOOKUP(DAY(B17),Urlaub!$C$4:$AG$16,MONTH(B17)+1,FALSE),0)</f>
        <v>0</v>
      </c>
      <c r="AX17" s="38">
        <f t="shared" ref="AX17:AX35" si="10">IFERROR(IF(OR(AW17=0,AW17="G"),0,IF(EXACT(LOWER(AW17),AW17),0.5*BB17,BB17)),"")</f>
        <v>0</v>
      </c>
      <c r="AY17" s="7">
        <f t="shared" si="4"/>
        <v>2.0833333333333301E-2</v>
      </c>
      <c r="AZ17" s="5">
        <f t="shared" si="5"/>
        <v>0</v>
      </c>
      <c r="BA17" s="39">
        <f t="shared" si="7"/>
        <v>0</v>
      </c>
      <c r="BB17" s="5">
        <f t="shared" si="6"/>
        <v>0</v>
      </c>
    </row>
    <row r="18" spans="2:54" ht="19.5" thickBot="1" x14ac:dyDescent="0.35">
      <c r="B18" s="43">
        <f t="shared" si="8"/>
        <v>41772</v>
      </c>
      <c r="C18" s="44">
        <f t="shared" si="9"/>
        <v>41772</v>
      </c>
      <c r="D18" s="3"/>
      <c r="E18" s="62"/>
      <c r="F18" s="62"/>
      <c r="G18" s="62"/>
      <c r="H18" s="62"/>
      <c r="I18" s="62" t="str">
        <f t="shared" ca="1" si="0"/>
        <v/>
      </c>
      <c r="J18" s="52">
        <f>IF(AND(Feiertage!$G$2&lt;&gt;"ja",AV18=1),IF(AZ18&gt;0,BB18+AZ18,BB18),IF(AZ18=0,0, IF(I18&lt;&gt;"",AZ18-I18,AZ18)))+AX18</f>
        <v>0</v>
      </c>
      <c r="K18" s="62">
        <f>IF(AV18=0,BB18,IF(Feiertage!$G$2="ja","00:00",BB18))</f>
        <v>0.33333333333333331</v>
      </c>
      <c r="L18" s="52">
        <f t="shared" ca="1" si="1"/>
        <v>-0.33333333333333331</v>
      </c>
      <c r="M18" s="50" t="str">
        <f>IF(AV18=1,AU18,IF(LOWER(AW18)=LOWER(Urlaub!$W$19),Urlaub!$S$19,
IF(LOWER(AW18)=LOWER(Urlaub!$W$20),Urlaub!$S$20,
IF(LOWER(AW18)=LOWER(Urlaub!$W$21),Urlaub!$S$21,
IF(LOWER(AW18)=LOWER(Urlaub!$W$22),Urlaub!$S$22,
IF(LOWER(AW18)=LOWER(Urlaub!$W$23),Urlaub!$S$23,
IF(LOWER(AW18)=LOWER(Urlaub!$W$24),Urlaub!$S$24,""))))))&amp;IF(AND(EXACT(LOWER(AW18),AW18),AW18&lt;&gt;0)," 1/2",""))</f>
        <v/>
      </c>
      <c r="N18" s="53">
        <f t="shared" si="2"/>
        <v>0</v>
      </c>
      <c r="P18" s="161"/>
      <c r="Q18" s="162"/>
      <c r="R18" s="162"/>
      <c r="S18" s="162"/>
      <c r="T18" s="162"/>
      <c r="U18" s="162"/>
      <c r="V18" s="163"/>
      <c r="AU18" t="str">
        <f>IF(AV18=1,VLOOKUP($B18,Feiertage!$B$2:$D$49,3,FALSE),"")</f>
        <v/>
      </c>
      <c r="AV18">
        <f>IF(IFERROR(MATCH($B18,Feiertage!$B$2:$B$49,0)&gt;0,0),1,0)</f>
        <v>0</v>
      </c>
      <c r="AW18" s="22">
        <f>IFERROR(HLOOKUP(DAY(B18),Urlaub!$C$4:$AG$16,MONTH(B18)+1,FALSE),0)</f>
        <v>0</v>
      </c>
      <c r="AX18" s="38">
        <f t="shared" si="10"/>
        <v>0</v>
      </c>
      <c r="AY18" s="7">
        <f t="shared" si="4"/>
        <v>2.0833333333333332E-2</v>
      </c>
      <c r="AZ18" s="5">
        <f t="shared" si="5"/>
        <v>0</v>
      </c>
      <c r="BA18" s="39">
        <f t="shared" si="7"/>
        <v>0</v>
      </c>
      <c r="BB18" s="5">
        <f t="shared" si="6"/>
        <v>0.33333333333333331</v>
      </c>
    </row>
    <row r="19" spans="2:54" ht="18.75" x14ac:dyDescent="0.3">
      <c r="B19" s="43">
        <f t="shared" si="8"/>
        <v>41773</v>
      </c>
      <c r="C19" s="44">
        <f t="shared" si="9"/>
        <v>41773</v>
      </c>
      <c r="D19" s="3"/>
      <c r="E19" s="62"/>
      <c r="F19" s="62"/>
      <c r="G19" s="62"/>
      <c r="H19" s="62"/>
      <c r="I19" s="62" t="str">
        <f t="shared" ca="1" si="0"/>
        <v/>
      </c>
      <c r="J19" s="52">
        <f>IF(AND(Feiertage!$G$2&lt;&gt;"ja",AV19=1),IF(AZ19&gt;0,BB19+AZ19,BB19),IF(AZ19=0,0, IF(I19&lt;&gt;"",AZ19-I19,AZ19)))+AX19</f>
        <v>0</v>
      </c>
      <c r="K19" s="62">
        <f>IF(AV19=0,BB19,IF(Feiertage!$G$2="ja","00:00",BB19))</f>
        <v>0.33333333333333331</v>
      </c>
      <c r="L19" s="52">
        <f ca="1">IF(OR(B19&lt;=TODAY(),J19,AW19="G"),IF(J19&lt;&gt;"",IF(J19-K19=0,"",J19-K19),IF(K19&lt;&gt;"",-K19,"")),"")</f>
        <v>-0.33333333333333331</v>
      </c>
      <c r="M19" s="50" t="str">
        <f>IF(AV19=1,AU19,IF(LOWER(AW19)=LOWER(Urlaub!$W$19),Urlaub!$S$19,
IF(LOWER(AW19)=LOWER(Urlaub!$W$20),Urlaub!$S$20,
IF(LOWER(AW19)=LOWER(Urlaub!$W$21),Urlaub!$S$21,
IF(LOWER(AW19)=LOWER(Urlaub!$W$22),Urlaub!$S$22,
IF(LOWER(AW19)=LOWER(Urlaub!$W$23),Urlaub!$S$23,
IF(LOWER(AW19)=LOWER(Urlaub!$W$24),Urlaub!$S$24,""))))))&amp;IF(AND(EXACT(LOWER(AW19),AW19),AW19&lt;&gt;0)," 1/2",""))</f>
        <v/>
      </c>
      <c r="N19" s="53">
        <f t="shared" si="2"/>
        <v>0</v>
      </c>
      <c r="AU19" t="str">
        <f>IF(AV19=1,VLOOKUP($B19,Feiertage!$B$2:$D$49,3,FALSE),"")</f>
        <v/>
      </c>
      <c r="AV19">
        <f>IF(IFERROR(MATCH($B19,Feiertage!$B$2:$B$49,0)&gt;0,0),1,0)</f>
        <v>0</v>
      </c>
      <c r="AW19" s="22">
        <f>IFERROR(HLOOKUP(DAY(B19),Urlaub!$C$4:$AG$16,MONTH(B19)+1,FALSE),0)</f>
        <v>0</v>
      </c>
      <c r="AX19" s="38">
        <f>IFERROR(IF(OR(AW19=0,AW19="G"),0,IF(EXACT(LOWER(AW19),AW19),0.5*BB19,BB19)),"")</f>
        <v>0</v>
      </c>
      <c r="AY19" s="7">
        <f t="shared" si="4"/>
        <v>2.0833333333333332E-2</v>
      </c>
      <c r="AZ19" s="5">
        <f t="shared" si="5"/>
        <v>0</v>
      </c>
      <c r="BA19" s="39">
        <f t="shared" si="7"/>
        <v>0</v>
      </c>
      <c r="BB19" s="5">
        <f t="shared" si="6"/>
        <v>0.33333333333333331</v>
      </c>
    </row>
    <row r="20" spans="2:54" ht="18.75" x14ac:dyDescent="0.3">
      <c r="B20" s="43">
        <f t="shared" si="8"/>
        <v>41774</v>
      </c>
      <c r="C20" s="44">
        <f t="shared" si="9"/>
        <v>41774</v>
      </c>
      <c r="D20" s="3"/>
      <c r="E20" s="62"/>
      <c r="F20" s="62"/>
      <c r="G20" s="62"/>
      <c r="H20" s="62"/>
      <c r="I20" s="62" t="str">
        <f t="shared" ca="1" si="0"/>
        <v/>
      </c>
      <c r="J20" s="52">
        <f>IF(AND(Feiertage!$G$2&lt;&gt;"ja",AV20=1),IF(AZ20&gt;0,BB20+AZ20,BB20),IF(AZ20=0,0, IF(I20&lt;&gt;"",AZ20-I20,AZ20)))+AX20</f>
        <v>0</v>
      </c>
      <c r="K20" s="62">
        <f>IF(AV20=0,BB20,IF(Feiertage!$G$2="ja","00:00",BB20))</f>
        <v>0.33333333333333331</v>
      </c>
      <c r="L20" s="52">
        <f t="shared" ref="L20:L35" ca="1" si="11">IF(OR(B20&lt;=TODAY(),J20,AW20="G"),IF(J20&lt;&gt;"",IF(J20-K20=0,"",J20-K20),IF(K20&lt;&gt;"",-K20,"")),"")</f>
        <v>-0.33333333333333331</v>
      </c>
      <c r="M20" s="50" t="str">
        <f>IF(AV20=1,AU20,IF(LOWER(AW20)=LOWER(Urlaub!$W$19),Urlaub!$S$19,
IF(LOWER(AW20)=LOWER(Urlaub!$W$20),Urlaub!$S$20,
IF(LOWER(AW20)=LOWER(Urlaub!$W$21),Urlaub!$S$21,
IF(LOWER(AW20)=LOWER(Urlaub!$W$22),Urlaub!$S$22,
IF(LOWER(AW20)=LOWER(Urlaub!$W$23),Urlaub!$S$23,
IF(LOWER(AW20)=LOWER(Urlaub!$W$24),Urlaub!$S$24,""))))))&amp;IF(AND(EXACT(LOWER(AW20),AW20),AW20&lt;&gt;0)," 1/2",""))</f>
        <v/>
      </c>
      <c r="N20" s="53">
        <f t="shared" si="2"/>
        <v>0</v>
      </c>
      <c r="AU20" t="str">
        <f>IF(AV20=1,VLOOKUP($B20,Feiertage!$B$2:$D$49,3,FALSE),"")</f>
        <v/>
      </c>
      <c r="AV20">
        <f>IF(IFERROR(MATCH($B20,Feiertage!$B$2:$B$49,0)&gt;0,0),1,0)</f>
        <v>0</v>
      </c>
      <c r="AW20" s="22">
        <f>IFERROR(HLOOKUP(DAY(B20),Urlaub!$C$4:$AG$16,MONTH(B20)+1,FALSE),0)</f>
        <v>0</v>
      </c>
      <c r="AX20" s="38">
        <f t="shared" si="10"/>
        <v>0</v>
      </c>
      <c r="AY20" s="7">
        <f t="shared" si="4"/>
        <v>2.0833333333333301E-2</v>
      </c>
      <c r="AZ20" s="5">
        <f t="shared" si="5"/>
        <v>0</v>
      </c>
      <c r="BA20" s="39">
        <f t="shared" si="7"/>
        <v>0</v>
      </c>
      <c r="BB20" s="5">
        <f t="shared" si="6"/>
        <v>0.33333333333333331</v>
      </c>
    </row>
    <row r="21" spans="2:54" ht="18.75" x14ac:dyDescent="0.3">
      <c r="B21" s="43">
        <f t="shared" si="8"/>
        <v>41775</v>
      </c>
      <c r="C21" s="44">
        <f t="shared" si="9"/>
        <v>41775</v>
      </c>
      <c r="D21" s="3"/>
      <c r="E21" s="62"/>
      <c r="F21" s="62"/>
      <c r="G21" s="62"/>
      <c r="H21" s="62"/>
      <c r="I21" s="62" t="str">
        <f t="shared" ca="1" si="0"/>
        <v/>
      </c>
      <c r="J21" s="52">
        <f>IF(AND(Feiertage!$G$2&lt;&gt;"ja",AV21=1),IF(AZ21&gt;0,BB21+AZ21,BB21),IF(AZ21=0,0, IF(I21&lt;&gt;"",AZ21-I21,AZ21)))+AX21</f>
        <v>0</v>
      </c>
      <c r="K21" s="62">
        <f>IF(AV21=0,BB21,IF(Feiertage!$G$2="ja","00:00",BB21))</f>
        <v>0.33333333333333331</v>
      </c>
      <c r="L21" s="52">
        <f t="shared" ca="1" si="11"/>
        <v>-0.33333333333333331</v>
      </c>
      <c r="M21" s="50" t="str">
        <f>IF(AV21=1,AU21,IF(LOWER(AW21)=LOWER(Urlaub!$W$19),Urlaub!$S$19,
IF(LOWER(AW21)=LOWER(Urlaub!$W$20),Urlaub!$S$20,
IF(LOWER(AW21)=LOWER(Urlaub!$W$21),Urlaub!$S$21,
IF(LOWER(AW21)=LOWER(Urlaub!$W$22),Urlaub!$S$22,
IF(LOWER(AW21)=LOWER(Urlaub!$W$23),Urlaub!$S$23,
IF(LOWER(AW21)=LOWER(Urlaub!$W$24),Urlaub!$S$24,""))))))&amp;IF(AND(EXACT(LOWER(AW21),AW21),AW21&lt;&gt;0)," 1/2",""))</f>
        <v/>
      </c>
      <c r="N21" s="53">
        <f t="shared" si="2"/>
        <v>0</v>
      </c>
      <c r="AU21" t="str">
        <f>IF(AV21=1,VLOOKUP($B21,Feiertage!$B$2:$D$49,3,FALSE),"")</f>
        <v/>
      </c>
      <c r="AV21">
        <f>IF(IFERROR(MATCH($B21,Feiertage!$B$2:$B$49,0)&gt;0,0),1,0)</f>
        <v>0</v>
      </c>
      <c r="AW21" s="22">
        <f>IFERROR(HLOOKUP(DAY(B21),Urlaub!$C$4:$AG$16,MONTH(B21)+1,FALSE),0)</f>
        <v>0</v>
      </c>
      <c r="AX21" s="38">
        <f t="shared" si="10"/>
        <v>0</v>
      </c>
      <c r="AY21" s="7">
        <f t="shared" si="4"/>
        <v>2.0833333333333301E-2</v>
      </c>
      <c r="AZ21" s="5">
        <f t="shared" si="5"/>
        <v>0</v>
      </c>
      <c r="BA21" s="39">
        <f t="shared" si="7"/>
        <v>0</v>
      </c>
      <c r="BB21" s="5">
        <f t="shared" si="6"/>
        <v>0.33333333333333331</v>
      </c>
    </row>
    <row r="22" spans="2:54" ht="18.75" x14ac:dyDescent="0.3">
      <c r="B22" s="43">
        <f t="shared" si="8"/>
        <v>41776</v>
      </c>
      <c r="C22" s="44">
        <f t="shared" si="9"/>
        <v>41776</v>
      </c>
      <c r="D22" s="3"/>
      <c r="E22" s="62"/>
      <c r="F22" s="62"/>
      <c r="G22" s="62"/>
      <c r="H22" s="62"/>
      <c r="I22" s="62" t="str">
        <f t="shared" ca="1" si="0"/>
        <v/>
      </c>
      <c r="J22" s="52">
        <f>IF(AND(Feiertage!$G$2&lt;&gt;"ja",AV22=1),IF(AZ22&gt;0,BB22+AZ22,BB22),IF(AZ22=0,0, IF(I22&lt;&gt;"",AZ22-I22,AZ22)))+AX22</f>
        <v>0</v>
      </c>
      <c r="K22" s="62">
        <f>IF(AV22=0,BB22,IF(Feiertage!$G$2="ja","00:00",BB22))</f>
        <v>0.33333333333333331</v>
      </c>
      <c r="L22" s="52">
        <f t="shared" ca="1" si="11"/>
        <v>-0.33333333333333331</v>
      </c>
      <c r="M22" s="50" t="str">
        <f>IF(AV22=1,AU22,IF(LOWER(AW22)=LOWER(Urlaub!$W$19),Urlaub!$S$19,
IF(LOWER(AW22)=LOWER(Urlaub!$W$20),Urlaub!$S$20,
IF(LOWER(AW22)=LOWER(Urlaub!$W$21),Urlaub!$S$21,
IF(LOWER(AW22)=LOWER(Urlaub!$W$22),Urlaub!$S$22,
IF(LOWER(AW22)=LOWER(Urlaub!$W$23),Urlaub!$S$23,
IF(LOWER(AW22)=LOWER(Urlaub!$W$24),Urlaub!$S$24,""))))))&amp;IF(AND(EXACT(LOWER(AW22),AW22),AW22&lt;&gt;0)," 1/2",""))</f>
        <v/>
      </c>
      <c r="N22" s="53">
        <f t="shared" si="2"/>
        <v>0</v>
      </c>
      <c r="AU22" t="str">
        <f>IF(AV22=1,VLOOKUP($B22,Feiertage!$B$2:$D$49,3,FALSE),"")</f>
        <v/>
      </c>
      <c r="AV22">
        <f>IF(IFERROR(MATCH($B22,Feiertage!$B$2:$B$49,0)&gt;0,0),1,0)</f>
        <v>0</v>
      </c>
      <c r="AW22" s="22">
        <f>IFERROR(HLOOKUP(DAY(B22),Urlaub!$C$4:$AG$16,MONTH(B22)+1,FALSE),0)</f>
        <v>0</v>
      </c>
      <c r="AX22" s="38">
        <f t="shared" si="10"/>
        <v>0</v>
      </c>
      <c r="AY22" s="7">
        <f t="shared" si="4"/>
        <v>2.0833333333333301E-2</v>
      </c>
      <c r="AZ22" s="5">
        <f t="shared" si="5"/>
        <v>0</v>
      </c>
      <c r="BA22" s="39">
        <f t="shared" si="7"/>
        <v>0</v>
      </c>
      <c r="BB22" s="5">
        <f t="shared" si="6"/>
        <v>0.33333333333333331</v>
      </c>
    </row>
    <row r="23" spans="2:54" ht="18.75" x14ac:dyDescent="0.3">
      <c r="B23" s="43">
        <f t="shared" si="8"/>
        <v>41777</v>
      </c>
      <c r="C23" s="44">
        <f t="shared" si="9"/>
        <v>41777</v>
      </c>
      <c r="D23" s="3"/>
      <c r="E23" s="62"/>
      <c r="F23" s="62"/>
      <c r="G23" s="62"/>
      <c r="H23" s="62"/>
      <c r="I23" s="62" t="str">
        <f t="shared" ca="1" si="0"/>
        <v/>
      </c>
      <c r="J23" s="52">
        <f>IF(AND(Feiertage!$G$2&lt;&gt;"ja",AV23=1),IF(AZ23&gt;0,BB23+AZ23,BB23),IF(AZ23=0,0, IF(I23&lt;&gt;"",AZ23-I23,AZ23)))+AX23</f>
        <v>0</v>
      </c>
      <c r="K23" s="62">
        <f>IF(AV23=0,BB23,IF(Feiertage!$G$2="ja","00:00",BB23))</f>
        <v>0</v>
      </c>
      <c r="L23" s="52" t="str">
        <f t="shared" ca="1" si="11"/>
        <v/>
      </c>
      <c r="M23" s="50" t="str">
        <f>IF(AV23=1,AU23,IF(LOWER(AW23)=LOWER(Urlaub!$W$19),Urlaub!$S$19,
IF(LOWER(AW23)=LOWER(Urlaub!$W$20),Urlaub!$S$20,
IF(LOWER(AW23)=LOWER(Urlaub!$W$21),Urlaub!$S$21,
IF(LOWER(AW23)=LOWER(Urlaub!$W$22),Urlaub!$S$22,
IF(LOWER(AW23)=LOWER(Urlaub!$W$23),Urlaub!$S$23,
IF(LOWER(AW23)=LOWER(Urlaub!$W$24),Urlaub!$S$24,""))))))&amp;IF(AND(EXACT(LOWER(AW23),AW23),AW23&lt;&gt;0)," 1/2",""))</f>
        <v/>
      </c>
      <c r="N23" s="53">
        <f t="shared" si="2"/>
        <v>0</v>
      </c>
      <c r="AU23" t="str">
        <f>IF(AV23=1,VLOOKUP($B23,Feiertage!$B$2:$D$49,3,FALSE),"")</f>
        <v/>
      </c>
      <c r="AV23">
        <f>IF(IFERROR(MATCH($B23,Feiertage!$B$2:$B$49,0)&gt;0,0),1,0)</f>
        <v>0</v>
      </c>
      <c r="AW23" s="22">
        <f>IFERROR(HLOOKUP(DAY(B23),Urlaub!$C$4:$AG$16,MONTH(B23)+1,FALSE),0)</f>
        <v>0</v>
      </c>
      <c r="AX23" s="38">
        <f>IFERROR(IF(OR(AW23=0,AW23="G"),0,IF(EXACT(LOWER(AW23),AW23),0.5*BB23,BB23)),"")</f>
        <v>0</v>
      </c>
      <c r="AY23" s="7">
        <f t="shared" si="4"/>
        <v>2.0833333333333301E-2</v>
      </c>
      <c r="AZ23" s="5">
        <f t="shared" si="5"/>
        <v>0</v>
      </c>
      <c r="BA23" s="39">
        <f t="shared" si="7"/>
        <v>0</v>
      </c>
      <c r="BB23" s="5">
        <f t="shared" si="6"/>
        <v>0</v>
      </c>
    </row>
    <row r="24" spans="2:54" ht="18.75" x14ac:dyDescent="0.3">
      <c r="B24" s="43">
        <f t="shared" si="8"/>
        <v>41778</v>
      </c>
      <c r="C24" s="44">
        <f t="shared" si="9"/>
        <v>41778</v>
      </c>
      <c r="D24" s="3"/>
      <c r="E24" s="62"/>
      <c r="F24" s="62"/>
      <c r="G24" s="62"/>
      <c r="H24" s="62"/>
      <c r="I24" s="62" t="str">
        <f t="shared" ca="1" si="0"/>
        <v/>
      </c>
      <c r="J24" s="52">
        <f>IF(AND(Feiertage!$G$2&lt;&gt;"ja",AV24=1),IF(AZ24&gt;0,BB24+AZ24,BB24),IF(AZ24=0,0, IF(I24&lt;&gt;"",AZ24-I24,AZ24)))+AX24</f>
        <v>0</v>
      </c>
      <c r="K24" s="62">
        <f>IF(AV24=0,BB24,IF(Feiertage!$G$2="ja","00:00",BB24))</f>
        <v>0</v>
      </c>
      <c r="L24" s="52" t="str">
        <f t="shared" ca="1" si="11"/>
        <v/>
      </c>
      <c r="M24" s="50" t="str">
        <f>IF(AV24=1,AU24,IF(LOWER(AW24)=LOWER(Urlaub!$W$19),Urlaub!$S$19,
IF(LOWER(AW24)=LOWER(Urlaub!$W$20),Urlaub!$S$20,
IF(LOWER(AW24)=LOWER(Urlaub!$W$21),Urlaub!$S$21,
IF(LOWER(AW24)=LOWER(Urlaub!$W$22),Urlaub!$S$22,
IF(LOWER(AW24)=LOWER(Urlaub!$W$23),Urlaub!$S$23,
IF(LOWER(AW24)=LOWER(Urlaub!$W$24),Urlaub!$S$24,""))))))&amp;IF(AND(EXACT(LOWER(AW24),AW24),AW24&lt;&gt;0)," 1/2",""))</f>
        <v>Pfingstsonntag</v>
      </c>
      <c r="N24" s="53">
        <f t="shared" si="2"/>
        <v>0</v>
      </c>
      <c r="AU24" t="str">
        <f>IF(AV24=1,VLOOKUP($B24,Feiertage!$B$2:$D$49,3,FALSE),"")</f>
        <v>Pfingstsonntag</v>
      </c>
      <c r="AV24">
        <f>IF(IFERROR(MATCH($B24,Feiertage!$B$2:$B$49,0)&gt;0,0),1,0)</f>
        <v>1</v>
      </c>
      <c r="AW24" s="22">
        <f>IFERROR(HLOOKUP(DAY(B24),Urlaub!$C$4:$AG$16,MONTH(B24)+1,FALSE),0)</f>
        <v>0</v>
      </c>
      <c r="AX24" s="38">
        <f t="shared" si="10"/>
        <v>0</v>
      </c>
      <c r="AY24" s="7">
        <f t="shared" si="4"/>
        <v>2.0833333333333301E-2</v>
      </c>
      <c r="AZ24" s="5">
        <f t="shared" si="5"/>
        <v>0</v>
      </c>
      <c r="BA24" s="39">
        <f t="shared" si="7"/>
        <v>0</v>
      </c>
      <c r="BB24" s="5">
        <f t="shared" si="6"/>
        <v>0</v>
      </c>
    </row>
    <row r="25" spans="2:54" ht="18.75" x14ac:dyDescent="0.3">
      <c r="B25" s="43">
        <f t="shared" si="8"/>
        <v>41779</v>
      </c>
      <c r="C25" s="44">
        <f t="shared" si="9"/>
        <v>41779</v>
      </c>
      <c r="D25" s="3"/>
      <c r="E25" s="62"/>
      <c r="F25" s="62"/>
      <c r="G25" s="62"/>
      <c r="H25" s="62"/>
      <c r="I25" s="62" t="str">
        <f t="shared" ca="1" si="0"/>
        <v/>
      </c>
      <c r="J25" s="52">
        <f>IF(AND(Feiertage!$G$2&lt;&gt;"ja",AV25=1),IF(AZ25&gt;0,BB25+AZ25,BB25),IF(AZ25=0,0, IF(I25&lt;&gt;"",AZ25-I25,AZ25)))+AX25</f>
        <v>0.33333333333333331</v>
      </c>
      <c r="K25" s="62">
        <f>IF(AV25=0,BB25,IF(Feiertage!$G$2="ja","00:00",BB25))</f>
        <v>0.33333333333333331</v>
      </c>
      <c r="L25" s="52" t="str">
        <f t="shared" ca="1" si="11"/>
        <v/>
      </c>
      <c r="M25" s="50" t="str">
        <f>IF(AV25=1,AU25,IF(LOWER(AW25)=LOWER(Urlaub!$W$19),Urlaub!$S$19,
IF(LOWER(AW25)=LOWER(Urlaub!$W$20),Urlaub!$S$20,
IF(LOWER(AW25)=LOWER(Urlaub!$W$21),Urlaub!$S$21,
IF(LOWER(AW25)=LOWER(Urlaub!$W$22),Urlaub!$S$22,
IF(LOWER(AW25)=LOWER(Urlaub!$W$23),Urlaub!$S$23,
IF(LOWER(AW25)=LOWER(Urlaub!$W$24),Urlaub!$S$24,""))))))&amp;IF(AND(EXACT(LOWER(AW25),AW25),AW25&lt;&gt;0)," 1/2",""))</f>
        <v>Pfingstmontag</v>
      </c>
      <c r="N25" s="53">
        <f t="shared" si="2"/>
        <v>0</v>
      </c>
      <c r="AU25" t="str">
        <f>IF(AV25=1,VLOOKUP($B25,Feiertage!$B$2:$D$49,3,FALSE),"")</f>
        <v>Pfingstmontag</v>
      </c>
      <c r="AV25">
        <f>IF(IFERROR(MATCH($B25,Feiertage!$B$2:$B$49,0)&gt;0,0),1,0)</f>
        <v>1</v>
      </c>
      <c r="AW25" s="22">
        <f>IFERROR(HLOOKUP(DAY(B25),Urlaub!$C$4:$AG$16,MONTH(B25)+1,FALSE),0)</f>
        <v>0</v>
      </c>
      <c r="AX25" s="38">
        <f t="shared" si="10"/>
        <v>0</v>
      </c>
      <c r="AY25" s="7">
        <f t="shared" si="4"/>
        <v>2.0833333333333332E-2</v>
      </c>
      <c r="AZ25" s="5">
        <f t="shared" si="5"/>
        <v>0</v>
      </c>
      <c r="BA25" s="39">
        <f t="shared" si="7"/>
        <v>0</v>
      </c>
      <c r="BB25" s="5">
        <f t="shared" si="6"/>
        <v>0.33333333333333331</v>
      </c>
    </row>
    <row r="26" spans="2:54" ht="18.75" x14ac:dyDescent="0.3">
      <c r="B26" s="43">
        <f t="shared" si="8"/>
        <v>41780</v>
      </c>
      <c r="C26" s="44">
        <f t="shared" si="9"/>
        <v>41780</v>
      </c>
      <c r="D26" s="3"/>
      <c r="E26" s="62"/>
      <c r="F26" s="62"/>
      <c r="G26" s="62"/>
      <c r="H26" s="62"/>
      <c r="I26" s="62" t="str">
        <f t="shared" ca="1" si="0"/>
        <v/>
      </c>
      <c r="J26" s="52">
        <f>IF(AND(Feiertage!$G$2&lt;&gt;"ja",AV26=1),IF(AZ26&gt;0,BB26+AZ26,BB26),IF(AZ26=0,0, IF(I26&lt;&gt;"",AZ26-I26,AZ26)))+AX26</f>
        <v>0</v>
      </c>
      <c r="K26" s="62">
        <f>IF(AV26=0,BB26,IF(Feiertage!$G$2="ja","00:00",BB26))</f>
        <v>0.33333333333333331</v>
      </c>
      <c r="L26" s="52">
        <f t="shared" ca="1" si="11"/>
        <v>-0.33333333333333331</v>
      </c>
      <c r="M26" s="50" t="str">
        <f>IF(AV26=1,AU26,IF(LOWER(AW26)=LOWER(Urlaub!$W$19),Urlaub!$S$19,
IF(LOWER(AW26)=LOWER(Urlaub!$W$20),Urlaub!$S$20,
IF(LOWER(AW26)=LOWER(Urlaub!$W$21),Urlaub!$S$21,
IF(LOWER(AW26)=LOWER(Urlaub!$W$22),Urlaub!$S$22,
IF(LOWER(AW26)=LOWER(Urlaub!$W$23),Urlaub!$S$23,
IF(LOWER(AW26)=LOWER(Urlaub!$W$24),Urlaub!$S$24,""))))))&amp;IF(AND(EXACT(LOWER(AW26),AW26),AW26&lt;&gt;0)," 1/2",""))</f>
        <v/>
      </c>
      <c r="N26" s="53">
        <f t="shared" si="2"/>
        <v>0</v>
      </c>
      <c r="AU26" t="str">
        <f>IF(AV26=1,VLOOKUP($B26,Feiertage!$B$2:$D$49,3,FALSE),"")</f>
        <v/>
      </c>
      <c r="AV26">
        <f>IF(IFERROR(MATCH($B26,Feiertage!$B$2:$B$49,0)&gt;0,0),1,0)</f>
        <v>0</v>
      </c>
      <c r="AW26" s="22">
        <f>IFERROR(HLOOKUP(DAY(B26),Urlaub!$C$4:$AG$16,MONTH(B26)+1,FALSE),0)</f>
        <v>0</v>
      </c>
      <c r="AX26" s="38">
        <f t="shared" si="10"/>
        <v>0</v>
      </c>
      <c r="AY26" s="7">
        <f t="shared" si="4"/>
        <v>2.0833333333333332E-2</v>
      </c>
      <c r="AZ26" s="5">
        <f t="shared" si="5"/>
        <v>0</v>
      </c>
      <c r="BA26" s="39">
        <f t="shared" si="7"/>
        <v>0</v>
      </c>
      <c r="BB26" s="5">
        <f t="shared" si="6"/>
        <v>0.33333333333333331</v>
      </c>
    </row>
    <row r="27" spans="2:54" ht="18.75" x14ac:dyDescent="0.3">
      <c r="B27" s="43">
        <f t="shared" si="8"/>
        <v>41781</v>
      </c>
      <c r="C27" s="44">
        <f t="shared" si="9"/>
        <v>41781</v>
      </c>
      <c r="D27" s="3"/>
      <c r="E27" s="62"/>
      <c r="F27" s="62"/>
      <c r="G27" s="62"/>
      <c r="H27" s="62"/>
      <c r="I27" s="62" t="str">
        <f t="shared" ca="1" si="0"/>
        <v/>
      </c>
      <c r="J27" s="52">
        <f>IF(AND(Feiertage!$G$2&lt;&gt;"ja",AV27=1),IF(AZ27&gt;0,BB27+AZ27,BB27),IF(AZ27=0,0, IF(I27&lt;&gt;"",AZ27-I27,AZ27)))+AX27</f>
        <v>0</v>
      </c>
      <c r="K27" s="62">
        <f>IF(AV27=0,BB27,IF(Feiertage!$G$2="ja","00:00",BB27))</f>
        <v>0.33333333333333331</v>
      </c>
      <c r="L27" s="52">
        <f t="shared" ca="1" si="11"/>
        <v>-0.33333333333333331</v>
      </c>
      <c r="M27" s="50" t="str">
        <f>IF(AV27=1,AU27,IF(LOWER(AW27)=LOWER(Urlaub!$W$19),Urlaub!$S$19,
IF(LOWER(AW27)=LOWER(Urlaub!$W$20),Urlaub!$S$20,
IF(LOWER(AW27)=LOWER(Urlaub!$W$21),Urlaub!$S$21,
IF(LOWER(AW27)=LOWER(Urlaub!$W$22),Urlaub!$S$22,
IF(LOWER(AW27)=LOWER(Urlaub!$W$23),Urlaub!$S$23,
IF(LOWER(AW27)=LOWER(Urlaub!$W$24),Urlaub!$S$24,""))))))&amp;IF(AND(EXACT(LOWER(AW27),AW27),AW27&lt;&gt;0)," 1/2",""))</f>
        <v/>
      </c>
      <c r="N27" s="53">
        <f t="shared" si="2"/>
        <v>0</v>
      </c>
      <c r="AU27" t="str">
        <f>IF(AV27=1,VLOOKUP($B27,Feiertage!$B$2:$D$49,3,FALSE),"")</f>
        <v/>
      </c>
      <c r="AV27">
        <f>IF(IFERROR(MATCH($B27,Feiertage!$B$2:$B$49,0)&gt;0,0),1,0)</f>
        <v>0</v>
      </c>
      <c r="AW27" s="22">
        <f>IFERROR(HLOOKUP(DAY(B27),Urlaub!$C$4:$AG$16,MONTH(B27)+1,FALSE),0)</f>
        <v>0</v>
      </c>
      <c r="AX27" s="38">
        <f t="shared" si="10"/>
        <v>0</v>
      </c>
      <c r="AY27" s="7">
        <f t="shared" si="4"/>
        <v>2.0833333333333301E-2</v>
      </c>
      <c r="AZ27" s="5">
        <f t="shared" si="5"/>
        <v>0</v>
      </c>
      <c r="BA27" s="39">
        <f t="shared" si="7"/>
        <v>0</v>
      </c>
      <c r="BB27" s="5">
        <f t="shared" si="6"/>
        <v>0.33333333333333331</v>
      </c>
    </row>
    <row r="28" spans="2:54" ht="18.75" x14ac:dyDescent="0.3">
      <c r="B28" s="43">
        <f t="shared" si="8"/>
        <v>41782</v>
      </c>
      <c r="C28" s="44">
        <f t="shared" si="9"/>
        <v>41782</v>
      </c>
      <c r="D28" s="3"/>
      <c r="E28" s="62"/>
      <c r="F28" s="62"/>
      <c r="G28" s="62"/>
      <c r="H28" s="62"/>
      <c r="I28" s="62" t="str">
        <f t="shared" ca="1" si="0"/>
        <v/>
      </c>
      <c r="J28" s="52">
        <f>IF(AND(Feiertage!$G$2&lt;&gt;"ja",AV28=1),IF(AZ28&gt;0,BB28+AZ28,BB28),IF(AZ28=0,0, IF(I28&lt;&gt;"",AZ28-I28,AZ28)))+AX28</f>
        <v>0</v>
      </c>
      <c r="K28" s="62">
        <f>IF(AV28=0,BB28,IF(Feiertage!$G$2="ja","00:00",BB28))</f>
        <v>0.33333333333333331</v>
      </c>
      <c r="L28" s="52">
        <f t="shared" ca="1" si="11"/>
        <v>-0.33333333333333331</v>
      </c>
      <c r="M28" s="50" t="str">
        <f>IF(AV28=1,AU28,IF(LOWER(AW28)=LOWER(Urlaub!$W$19),Urlaub!$S$19,
IF(LOWER(AW28)=LOWER(Urlaub!$W$20),Urlaub!$S$20,
IF(LOWER(AW28)=LOWER(Urlaub!$W$21),Urlaub!$S$21,
IF(LOWER(AW28)=LOWER(Urlaub!$W$22),Urlaub!$S$22,
IF(LOWER(AW28)=LOWER(Urlaub!$W$23),Urlaub!$S$23,
IF(LOWER(AW28)=LOWER(Urlaub!$W$24),Urlaub!$S$24,""))))))&amp;IF(AND(EXACT(LOWER(AW28),AW28),AW28&lt;&gt;0)," 1/2",""))</f>
        <v/>
      </c>
      <c r="N28" s="53">
        <f t="shared" si="2"/>
        <v>0</v>
      </c>
      <c r="AU28" t="str">
        <f>IF(AV28=1,VLOOKUP($B28,Feiertage!$B$2:$D$49,3,FALSE),"")</f>
        <v/>
      </c>
      <c r="AV28">
        <f>IF(IFERROR(MATCH($B28,Feiertage!$B$2:$B$49,0)&gt;0,0),1,0)</f>
        <v>0</v>
      </c>
      <c r="AW28" s="22">
        <f>IFERROR(HLOOKUP(DAY(B28),Urlaub!$C$4:$AG$16,MONTH(B28)+1,FALSE),0)</f>
        <v>0</v>
      </c>
      <c r="AX28" s="38">
        <f t="shared" si="10"/>
        <v>0</v>
      </c>
      <c r="AY28" s="7">
        <f t="shared" si="4"/>
        <v>2.0833333333333301E-2</v>
      </c>
      <c r="AZ28" s="5">
        <f t="shared" si="5"/>
        <v>0</v>
      </c>
      <c r="BA28" s="39">
        <f t="shared" si="7"/>
        <v>0</v>
      </c>
      <c r="BB28" s="5">
        <f t="shared" si="6"/>
        <v>0.33333333333333331</v>
      </c>
    </row>
    <row r="29" spans="2:54" ht="18.75" x14ac:dyDescent="0.3">
      <c r="B29" s="43">
        <f t="shared" si="8"/>
        <v>41783</v>
      </c>
      <c r="C29" s="44">
        <f t="shared" si="9"/>
        <v>41783</v>
      </c>
      <c r="D29" s="3"/>
      <c r="E29" s="62"/>
      <c r="F29" s="62"/>
      <c r="G29" s="62"/>
      <c r="H29" s="62"/>
      <c r="I29" s="62" t="str">
        <f t="shared" ca="1" si="0"/>
        <v/>
      </c>
      <c r="J29" s="52">
        <f>IF(AND(Feiertage!$G$2&lt;&gt;"ja",AV29=1),IF(AZ29&gt;0,BB29+AZ29,BB29),IF(AZ29=0,0, IF(I29&lt;&gt;"",AZ29-I29,AZ29)))+AX29</f>
        <v>0</v>
      </c>
      <c r="K29" s="62">
        <f>IF(AV29=0,BB29,IF(Feiertage!$G$2="ja","00:00",BB29))</f>
        <v>0.33333333333333331</v>
      </c>
      <c r="L29" s="52">
        <f t="shared" ca="1" si="11"/>
        <v>-0.33333333333333331</v>
      </c>
      <c r="M29" s="50" t="str">
        <f>IF(AV29=1,AU29,IF(LOWER(AW29)=LOWER(Urlaub!$W$19),Urlaub!$S$19,
IF(LOWER(AW29)=LOWER(Urlaub!$W$20),Urlaub!$S$20,
IF(LOWER(AW29)=LOWER(Urlaub!$W$21),Urlaub!$S$21,
IF(LOWER(AW29)=LOWER(Urlaub!$W$22),Urlaub!$S$22,
IF(LOWER(AW29)=LOWER(Urlaub!$W$23),Urlaub!$S$23,
IF(LOWER(AW29)=LOWER(Urlaub!$W$24),Urlaub!$S$24,""))))))&amp;IF(AND(EXACT(LOWER(AW29),AW29),AW29&lt;&gt;0)," 1/2",""))</f>
        <v/>
      </c>
      <c r="N29" s="53">
        <f t="shared" si="2"/>
        <v>0</v>
      </c>
      <c r="AU29" t="str">
        <f>IF(AV29=1,VLOOKUP($B29,Feiertage!$B$2:$D$49,3,FALSE),"")</f>
        <v/>
      </c>
      <c r="AV29">
        <f>IF(IFERROR(MATCH($B29,Feiertage!$B$2:$B$49,0)&gt;0,0),1,0)</f>
        <v>0</v>
      </c>
      <c r="AW29" s="22">
        <f>IFERROR(HLOOKUP(DAY(B29),Urlaub!$C$4:$AG$16,MONTH(B29)+1,FALSE),0)</f>
        <v>0</v>
      </c>
      <c r="AX29" s="38">
        <f t="shared" si="10"/>
        <v>0</v>
      </c>
      <c r="AY29" s="7">
        <f t="shared" si="4"/>
        <v>2.0833333333333301E-2</v>
      </c>
      <c r="AZ29" s="5">
        <f t="shared" si="5"/>
        <v>0</v>
      </c>
      <c r="BA29" s="39">
        <f t="shared" si="7"/>
        <v>0</v>
      </c>
      <c r="BB29" s="5">
        <f t="shared" si="6"/>
        <v>0.33333333333333331</v>
      </c>
    </row>
    <row r="30" spans="2:54" ht="18.75" x14ac:dyDescent="0.3">
      <c r="B30" s="43">
        <f t="shared" si="8"/>
        <v>41784</v>
      </c>
      <c r="C30" s="44">
        <f t="shared" si="9"/>
        <v>41784</v>
      </c>
      <c r="D30" s="3"/>
      <c r="E30" s="62"/>
      <c r="F30" s="62"/>
      <c r="G30" s="62"/>
      <c r="H30" s="62"/>
      <c r="I30" s="62" t="str">
        <f t="shared" ca="1" si="0"/>
        <v/>
      </c>
      <c r="J30" s="52">
        <f>IF(AND(Feiertage!$G$2&lt;&gt;"ja",AV30=1),IF(AZ30&gt;0,BB30+AZ30,BB30),IF(AZ30=0,0, IF(I30&lt;&gt;"",AZ30-I30,AZ30)))+AX30</f>
        <v>0</v>
      </c>
      <c r="K30" s="62">
        <f>IF(AV30=0,BB30,IF(Feiertage!$G$2="ja","00:00",BB30))</f>
        <v>0</v>
      </c>
      <c r="L30" s="52" t="str">
        <f t="shared" ca="1" si="11"/>
        <v/>
      </c>
      <c r="M30" s="50" t="str">
        <f>IF(AV30=1,AU30,IF(LOWER(AW30)=LOWER(Urlaub!$W$19),Urlaub!$S$19,
IF(LOWER(AW30)=LOWER(Urlaub!$W$20),Urlaub!$S$20,
IF(LOWER(AW30)=LOWER(Urlaub!$W$21),Urlaub!$S$21,
IF(LOWER(AW30)=LOWER(Urlaub!$W$22),Urlaub!$S$22,
IF(LOWER(AW30)=LOWER(Urlaub!$W$23),Urlaub!$S$23,
IF(LOWER(AW30)=LOWER(Urlaub!$W$24),Urlaub!$S$24,""))))))&amp;IF(AND(EXACT(LOWER(AW30),AW30),AW30&lt;&gt;0)," 1/2",""))</f>
        <v/>
      </c>
      <c r="N30" s="53">
        <f t="shared" si="2"/>
        <v>0</v>
      </c>
      <c r="AU30" t="str">
        <f>IF(AV30=1,VLOOKUP($B30,Feiertage!$B$2:$D$49,3,FALSE),"")</f>
        <v/>
      </c>
      <c r="AV30">
        <f>IF(IFERROR(MATCH($B30,Feiertage!$B$2:$B$49,0)&gt;0,0),1,0)</f>
        <v>0</v>
      </c>
      <c r="AW30" s="22">
        <f>IFERROR(HLOOKUP(DAY(B30),Urlaub!$C$4:$AG$16,MONTH(B30)+1,FALSE),0)</f>
        <v>0</v>
      </c>
      <c r="AX30" s="38">
        <f t="shared" si="10"/>
        <v>0</v>
      </c>
      <c r="AY30" s="7">
        <f t="shared" si="4"/>
        <v>2.0833333333333301E-2</v>
      </c>
      <c r="AZ30" s="5">
        <f t="shared" si="5"/>
        <v>0</v>
      </c>
      <c r="BA30" s="39">
        <f t="shared" si="7"/>
        <v>0</v>
      </c>
      <c r="BB30" s="5">
        <f t="shared" si="6"/>
        <v>0</v>
      </c>
    </row>
    <row r="31" spans="2:54" ht="18.75" x14ac:dyDescent="0.3">
      <c r="B31" s="43">
        <f t="shared" si="8"/>
        <v>41785</v>
      </c>
      <c r="C31" s="44">
        <f t="shared" si="9"/>
        <v>41785</v>
      </c>
      <c r="D31" s="3"/>
      <c r="E31" s="62"/>
      <c r="F31" s="62"/>
      <c r="G31" s="62"/>
      <c r="H31" s="62"/>
      <c r="I31" s="62" t="str">
        <f t="shared" ca="1" si="0"/>
        <v/>
      </c>
      <c r="J31" s="52">
        <f>IF(AND(Feiertage!$G$2&lt;&gt;"ja",AV31=1),IF(AZ31&gt;0,BB31+AZ31,BB31),IF(AZ31=0,0, IF(I31&lt;&gt;"",AZ31-I31,AZ31)))+AX31</f>
        <v>0</v>
      </c>
      <c r="K31" s="62">
        <f>IF(AV31=0,BB31,IF(Feiertage!$G$2="ja","00:00",BB31))</f>
        <v>0</v>
      </c>
      <c r="L31" s="52" t="str">
        <f t="shared" ca="1" si="11"/>
        <v/>
      </c>
      <c r="M31" s="50" t="str">
        <f>IF(AV31=1,AU31,IF(LOWER(AW31)=LOWER(Urlaub!$W$19),Urlaub!$S$19,
IF(LOWER(AW31)=LOWER(Urlaub!$W$20),Urlaub!$S$20,
IF(LOWER(AW31)=LOWER(Urlaub!$W$21),Urlaub!$S$21,
IF(LOWER(AW31)=LOWER(Urlaub!$W$22),Urlaub!$S$22,
IF(LOWER(AW31)=LOWER(Urlaub!$W$23),Urlaub!$S$23,
IF(LOWER(AW31)=LOWER(Urlaub!$W$24),Urlaub!$S$24,""))))))&amp;IF(AND(EXACT(LOWER(AW31),AW31),AW31&lt;&gt;0)," 1/2",""))</f>
        <v/>
      </c>
      <c r="N31" s="53">
        <f t="shared" si="2"/>
        <v>0</v>
      </c>
      <c r="AU31" t="str">
        <f>IF(AV31=1,VLOOKUP($B31,Feiertage!$B$2:$D$49,3,FALSE),"")</f>
        <v/>
      </c>
      <c r="AV31">
        <f>IF(IFERROR(MATCH($B31,Feiertage!$B$2:$B$49,0)&gt;0,0),1,0)</f>
        <v>0</v>
      </c>
      <c r="AW31" s="22">
        <f>IFERROR(HLOOKUP(DAY(B31),Urlaub!$C$4:$AG$16,MONTH(B31)+1,FALSE),0)</f>
        <v>0</v>
      </c>
      <c r="AX31" s="38">
        <f t="shared" si="10"/>
        <v>0</v>
      </c>
      <c r="AY31" s="7">
        <f t="shared" si="4"/>
        <v>2.0833333333333301E-2</v>
      </c>
      <c r="AZ31" s="5">
        <f t="shared" si="5"/>
        <v>0</v>
      </c>
      <c r="BA31" s="39">
        <f t="shared" si="7"/>
        <v>0</v>
      </c>
      <c r="BB31" s="5">
        <f t="shared" si="6"/>
        <v>0</v>
      </c>
    </row>
    <row r="32" spans="2:54" ht="18.75" x14ac:dyDescent="0.3">
      <c r="B32" s="43">
        <f t="shared" si="8"/>
        <v>41786</v>
      </c>
      <c r="C32" s="44">
        <f t="shared" si="9"/>
        <v>41786</v>
      </c>
      <c r="D32" s="3"/>
      <c r="E32" s="62"/>
      <c r="F32" s="62"/>
      <c r="G32" s="62"/>
      <c r="H32" s="62"/>
      <c r="I32" s="62" t="str">
        <f t="shared" ca="1" si="0"/>
        <v/>
      </c>
      <c r="J32" s="52">
        <f>IF(AND(Feiertage!$G$2&lt;&gt;"ja",AV32=1),IF(AZ32&gt;0,BB32+AZ32,BB32),IF(AZ32=0,0, IF(I32&lt;&gt;"",AZ32-I32,AZ32)))+AX32</f>
        <v>0</v>
      </c>
      <c r="K32" s="62">
        <f>IF(AV32=0,BB32,IF(Feiertage!$G$2="ja","00:00",BB32))</f>
        <v>0.33333333333333331</v>
      </c>
      <c r="L32" s="52">
        <f t="shared" ca="1" si="11"/>
        <v>-0.33333333333333331</v>
      </c>
      <c r="M32" s="50" t="str">
        <f>IF(AV32=1,AU32,IF(LOWER(AW32)=LOWER(Urlaub!$W$19),Urlaub!$S$19,
IF(LOWER(AW32)=LOWER(Urlaub!$W$20),Urlaub!$S$20,
IF(LOWER(AW32)=LOWER(Urlaub!$W$21),Urlaub!$S$21,
IF(LOWER(AW32)=LOWER(Urlaub!$W$22),Urlaub!$S$22,
IF(LOWER(AW32)=LOWER(Urlaub!$W$23),Urlaub!$S$23,
IF(LOWER(AW32)=LOWER(Urlaub!$W$24),Urlaub!$S$24,""))))))&amp;IF(AND(EXACT(LOWER(AW32),AW32),AW32&lt;&gt;0)," 1/2",""))</f>
        <v/>
      </c>
      <c r="N32" s="53">
        <f t="shared" si="2"/>
        <v>0</v>
      </c>
      <c r="AU32" t="str">
        <f>IF(AV32=1,VLOOKUP($B32,Feiertage!$B$2:$D$49,3,FALSE),"")</f>
        <v/>
      </c>
      <c r="AV32">
        <f>IF(IFERROR(MATCH($B32,Feiertage!$B$2:$B$49,0)&gt;0,0),1,0)</f>
        <v>0</v>
      </c>
      <c r="AW32" s="22">
        <f>IFERROR(HLOOKUP(DAY(B32),Urlaub!$C$4:$AG$16,MONTH(B32)+1,FALSE),0)</f>
        <v>0</v>
      </c>
      <c r="AX32" s="38">
        <f t="shared" si="10"/>
        <v>0</v>
      </c>
      <c r="AY32" s="7">
        <f t="shared" si="4"/>
        <v>2.0833333333333332E-2</v>
      </c>
      <c r="AZ32" s="5">
        <f t="shared" si="5"/>
        <v>0</v>
      </c>
      <c r="BA32" s="39">
        <f t="shared" si="7"/>
        <v>0</v>
      </c>
      <c r="BB32" s="5">
        <f t="shared" si="6"/>
        <v>0.33333333333333331</v>
      </c>
    </row>
    <row r="33" spans="2:54" ht="18.75" x14ac:dyDescent="0.3">
      <c r="B33" s="43">
        <f>IF(B32&lt;&gt;"",IF(MONTH($B$1)&lt;MONTH(B32+1),"",B32+1),"")</f>
        <v>41787</v>
      </c>
      <c r="C33" s="44">
        <f t="shared" si="9"/>
        <v>41787</v>
      </c>
      <c r="D33" s="3"/>
      <c r="E33" s="62"/>
      <c r="F33" s="62"/>
      <c r="G33" s="62"/>
      <c r="H33" s="62"/>
      <c r="I33" s="62" t="str">
        <f t="shared" ca="1" si="0"/>
        <v/>
      </c>
      <c r="J33" s="52">
        <f>IF(B33&lt;&gt;"",IF(AND(Feiertage!$G$2&lt;&gt;"ja",AV33=1),IF(AZ33&gt;0,BB33+AZ33,BB33),IF(AZ33=0,0, IF(I33&lt;&gt;"",AZ33-I33,AZ33)))+AX33,"")</f>
        <v>0</v>
      </c>
      <c r="K33" s="62">
        <f>IF(B33&lt;&gt;"",IF(AV33=0,BB33,IF(Feiertage!$G$2="ja","00:00",BB33)),"")</f>
        <v>0.33333333333333331</v>
      </c>
      <c r="L33" s="52">
        <f t="shared" ca="1" si="11"/>
        <v>-0.33333333333333331</v>
      </c>
      <c r="M33" s="50" t="str">
        <f>IF(AV33=1,AU33,IF(LOWER(AW33)=LOWER(Urlaub!$W$19),Urlaub!$S$19,
IF(LOWER(AW33)=LOWER(Urlaub!$W$20),Urlaub!$S$20,
IF(LOWER(AW33)=LOWER(Urlaub!$W$21),Urlaub!$S$21,
IF(LOWER(AW33)=LOWER(Urlaub!$W$22),Urlaub!$S$22,
IF(LOWER(AW33)=LOWER(Urlaub!$W$23),Urlaub!$S$23,
IF(LOWER(AW33)=LOWER(Urlaub!$W$24),Urlaub!$S$24,""))))))&amp;IF(AND(EXACT(LOWER(AW33),AW33),AW33&lt;&gt;0)," 1/2",""))</f>
        <v/>
      </c>
      <c r="N33" s="53">
        <f>IF(J33&lt;&gt;"",24*J33*IF(WEEKDAY(C33)=WEEKDAY($P$6),$S$6,
IF(WEEKDAY(C33)=WEEKDAY($P$7),$S$7,
IF(WEEKDAY(C33)=WEEKDAY($P$8),$S$8,
IF(WEEKDAY(C33)=WEEKDAY($P$9),$S$9,
IF(WEEKDAY(C33)=WEEKDAY($P$10),$S$10,
IF(WEEKDAY(C33)=WEEKDAY($P$11),$S$11,
IF(WEEKDAY(C33)=WEEKDAY($P$12),$S$12,""))))))),"")</f>
        <v>0</v>
      </c>
      <c r="AU33" t="str">
        <f>IF(AV33=1,VLOOKUP($B33,Feiertage!$B$2:$D$49,3,FALSE),"")</f>
        <v/>
      </c>
      <c r="AV33">
        <f>IF(IFERROR(MATCH($B33,Feiertage!$B$2:$B$49,0)&gt;0,0),1,0)</f>
        <v>0</v>
      </c>
      <c r="AW33" s="22">
        <f>IFERROR(HLOOKUP(DAY(B33),Urlaub!$C$4:$AG$16,MONTH(B33)+1,FALSE),0)</f>
        <v>0</v>
      </c>
      <c r="AX33" s="38">
        <f t="shared" si="10"/>
        <v>0</v>
      </c>
      <c r="AY33" s="7">
        <f t="shared" si="4"/>
        <v>2.0833333333333332E-2</v>
      </c>
      <c r="AZ33" s="5">
        <f t="shared" si="5"/>
        <v>0</v>
      </c>
      <c r="BA33" s="39">
        <f t="shared" si="7"/>
        <v>0</v>
      </c>
      <c r="BB33" s="5">
        <f t="shared" si="6"/>
        <v>0.33333333333333331</v>
      </c>
    </row>
    <row r="34" spans="2:54" ht="18.75" x14ac:dyDescent="0.3">
      <c r="B34" s="43">
        <f t="shared" ref="B34:B35" si="12">IF(B33&lt;&gt;"",IF(MONTH($B$1)&lt;MONTH(B33+1),"",B33+1),"")</f>
        <v>41788</v>
      </c>
      <c r="C34" s="44">
        <f t="shared" si="9"/>
        <v>41788</v>
      </c>
      <c r="D34" s="3"/>
      <c r="E34" s="62"/>
      <c r="F34" s="62"/>
      <c r="G34" s="62"/>
      <c r="H34" s="62"/>
      <c r="I34" s="62" t="str">
        <f t="shared" ca="1" si="0"/>
        <v/>
      </c>
      <c r="J34" s="52">
        <f>IF(B34&lt;&gt;"",IF(AND(Feiertage!$G$2&lt;&gt;"ja",AV34=1),IF(AZ34&gt;0,BB34+AZ34,BB34),IF(AZ34=0,0, IF(I34&lt;&gt;"",AZ34-I34,AZ34)))+AX34,"")</f>
        <v>0</v>
      </c>
      <c r="K34" s="62">
        <f>IF(B34&lt;&gt;"",IF(AV34=0,BB34,IF(Feiertage!$G$2="ja","00:00",BB34)),"")</f>
        <v>0.33333333333333331</v>
      </c>
      <c r="L34" s="52">
        <f t="shared" ca="1" si="11"/>
        <v>-0.33333333333333331</v>
      </c>
      <c r="M34" s="50" t="str">
        <f>IF(AV34=1,AU34,IF(LOWER(AW34)=LOWER(Urlaub!$W$19),Urlaub!$S$19,
IF(LOWER(AW34)=LOWER(Urlaub!$W$20),Urlaub!$S$20,
IF(LOWER(AW34)=LOWER(Urlaub!$W$21),Urlaub!$S$21,
IF(LOWER(AW34)=LOWER(Urlaub!$W$22),Urlaub!$S$22,
IF(LOWER(AW34)=LOWER(Urlaub!$W$23),Urlaub!$S$23,
IF(LOWER(AW34)=LOWER(Urlaub!$W$24),Urlaub!$S$24,""))))))&amp;IF(AND(EXACT(LOWER(AW34),AW34),AW34&lt;&gt;0)," 1/2",""))</f>
        <v/>
      </c>
      <c r="N34" s="53">
        <f>IF(J34&lt;&gt;"",24*J34*IF(WEEKDAY(C34)=WEEKDAY($P$6),$S$6,
IF(WEEKDAY(C34)=WEEKDAY($P$7),$S$7,
IF(WEEKDAY(C34)=WEEKDAY($P$8),$S$8,
IF(WEEKDAY(C34)=WEEKDAY($P$9),$S$9,
IF(WEEKDAY(C34)=WEEKDAY($P$10),$S$10,
IF(WEEKDAY(C34)=WEEKDAY($P$11),$S$11,
IF(WEEKDAY(C34)=WEEKDAY($P$12),$S$12,""))))))),"")</f>
        <v>0</v>
      </c>
      <c r="AU34" t="str">
        <f>IF(AV34=1,VLOOKUP($B34,Feiertage!$B$2:$D$49,3,FALSE),"")</f>
        <v/>
      </c>
      <c r="AV34">
        <f>IF(IFERROR(MATCH($B34,Feiertage!$B$2:$B$49,0)&gt;0,0),1,0)</f>
        <v>0</v>
      </c>
      <c r="AW34" s="22">
        <f>IFERROR(HLOOKUP(DAY(B34),Urlaub!$C$4:$AG$16,MONTH(B34)+1,FALSE),0)</f>
        <v>0</v>
      </c>
      <c r="AX34" s="38">
        <f t="shared" si="10"/>
        <v>0</v>
      </c>
      <c r="AY34" s="7">
        <f t="shared" si="4"/>
        <v>2.0833333333333301E-2</v>
      </c>
      <c r="AZ34" s="5">
        <f t="shared" si="5"/>
        <v>0</v>
      </c>
      <c r="BA34" s="39">
        <f t="shared" si="7"/>
        <v>0</v>
      </c>
      <c r="BB34" s="5">
        <f t="shared" si="6"/>
        <v>0.33333333333333331</v>
      </c>
    </row>
    <row r="35" spans="2:54" ht="19.5" thickBot="1" x14ac:dyDescent="0.35">
      <c r="B35" s="70">
        <f t="shared" si="12"/>
        <v>41789</v>
      </c>
      <c r="C35" s="71">
        <f t="shared" si="9"/>
        <v>41789</v>
      </c>
      <c r="D35" s="72"/>
      <c r="E35" s="73"/>
      <c r="F35" s="73"/>
      <c r="G35" s="73"/>
      <c r="H35" s="74"/>
      <c r="I35" s="74" t="str">
        <f t="shared" ca="1" si="0"/>
        <v/>
      </c>
      <c r="J35" s="76">
        <f>IF(B35&lt;&gt;"",IF(AND(Feiertage!$G$2&lt;&gt;"ja",AV35=1),IF(AZ35&gt;0,BB35+AZ35,BB35),IF(AZ35=0,0, IF(I35&lt;&gt;"",AZ35-I35,AZ35)))+AX35,"")</f>
        <v>0</v>
      </c>
      <c r="K35" s="73">
        <f>IF(B35&lt;&gt;"",IF(AV35=0,BB35,IF(Feiertage!$G$2="ja","00:00",BB35)),"")</f>
        <v>0.33333333333333331</v>
      </c>
      <c r="L35" s="52">
        <f t="shared" ca="1" si="11"/>
        <v>-0.33333333333333331</v>
      </c>
      <c r="M35" s="50" t="str">
        <f>IF(AV35=1,AU35,IF(LOWER(AW35)=LOWER(Urlaub!$W$19),Urlaub!$S$19,
IF(LOWER(AW35)=LOWER(Urlaub!$W$20),Urlaub!$S$20,
IF(LOWER(AW35)=LOWER(Urlaub!$W$21),Urlaub!$S$21,
IF(LOWER(AW35)=LOWER(Urlaub!$W$22),Urlaub!$S$22,
IF(LOWER(AW35)=LOWER(Urlaub!$W$23),Urlaub!$S$23,
IF(LOWER(AW35)=LOWER(Urlaub!$W$24),Urlaub!$S$24,""))))))&amp;IF(AND(EXACT(LOWER(AW35),AW35),AW35&lt;&gt;0)," 1/2",""))</f>
        <v/>
      </c>
      <c r="N35" s="77">
        <f>IF(J35&lt;&gt;"",24*J35*IF(WEEKDAY(C35)=WEEKDAY($P$6),$S$6,
IF(WEEKDAY(C35)=WEEKDAY($P$7),$S$7,
IF(WEEKDAY(C35)=WEEKDAY($P$8),$S$8,
IF(WEEKDAY(C35)=WEEKDAY($P$9),$S$9,
IF(WEEKDAY(C35)=WEEKDAY($P$10),$S$10,
IF(WEEKDAY(C35)=WEEKDAY($P$11),$S$11,
IF(WEEKDAY(C35)=WEEKDAY($P$12),$S$12,""))))))),"")</f>
        <v>0</v>
      </c>
      <c r="AU35" t="str">
        <f>IF(AV35=1,VLOOKUP($B35,Feiertage!$B$2:$D$49,3,FALSE),"")</f>
        <v/>
      </c>
      <c r="AV35">
        <f>IF(IFERROR(MATCH($B35,Feiertage!$B$2:$B$49,0)&gt;0,0),1,0)</f>
        <v>0</v>
      </c>
      <c r="AW35" s="22">
        <f>IFERROR(HLOOKUP(DAY(B35),Urlaub!$C$4:$AG$16,MONTH(B35)+1,FALSE),0)</f>
        <v>0</v>
      </c>
      <c r="AX35" s="38">
        <f t="shared" si="10"/>
        <v>0</v>
      </c>
      <c r="AY35" s="7">
        <f t="shared" si="4"/>
        <v>2.0833333333333301E-2</v>
      </c>
      <c r="AZ35" s="5">
        <f t="shared" si="5"/>
        <v>0</v>
      </c>
      <c r="BA35" s="39">
        <f t="shared" si="7"/>
        <v>0</v>
      </c>
      <c r="BB35" s="5">
        <f t="shared" si="6"/>
        <v>0.33333333333333331</v>
      </c>
    </row>
    <row r="36" spans="2:54" ht="5.25" customHeight="1" thickTop="1" thickBot="1" x14ac:dyDescent="0.3">
      <c r="B36" s="1"/>
      <c r="H36" s="75"/>
      <c r="I36" s="75"/>
      <c r="J36" s="75"/>
      <c r="K36" s="2"/>
      <c r="L36" s="75"/>
    </row>
    <row r="37" spans="2:54" ht="24" thickBot="1" x14ac:dyDescent="0.4">
      <c r="B37" s="139" t="s">
        <v>74</v>
      </c>
      <c r="C37" s="140"/>
      <c r="D37" s="140"/>
      <c r="E37" s="140"/>
      <c r="F37" s="140"/>
      <c r="G37" s="140"/>
      <c r="H37" s="140"/>
      <c r="I37" s="141"/>
      <c r="J37" s="47">
        <f>SUM(J5:J35)</f>
        <v>1</v>
      </c>
      <c r="K37" s="47">
        <f t="shared" ref="K37" si="13">SUM(K5:K35)</f>
        <v>7.6666666666666634</v>
      </c>
      <c r="L37" s="47">
        <f ca="1">SUM(L5:L35)</f>
        <v>-6.6666666666666643</v>
      </c>
      <c r="M37" s="47">
        <f>SUM(AX5:AX35)</f>
        <v>0</v>
      </c>
      <c r="N37" s="48">
        <f t="shared" ref="N37" si="14">SUM(N5:N35)</f>
        <v>0</v>
      </c>
    </row>
    <row r="38" spans="2:54" x14ac:dyDescent="0.25">
      <c r="B38" s="1"/>
    </row>
    <row r="39" spans="2:54" x14ac:dyDescent="0.25">
      <c r="B39" s="1"/>
    </row>
  </sheetData>
  <sheetProtection algorithmName="SHA-512" hashValue="3ax7utllfZKBQtPdG8IMd/gzFMfDkucdWdmPyq5IpVp5om8IvemuOv07A+L1G4DqtH+JNMrVMHseYqvPd8bJAA==" saltValue="LOljp44OLRKJgGXt01199Q==" spinCount="100000" sheet="1" selectLockedCells="1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7">
    <mergeCell ref="E3:H3"/>
    <mergeCell ref="B37:I37"/>
    <mergeCell ref="B1:N1"/>
    <mergeCell ref="U4:V4"/>
    <mergeCell ref="P4:S4"/>
    <mergeCell ref="P15:V15"/>
    <mergeCell ref="P16:V18"/>
  </mergeCells>
  <conditionalFormatting sqref="B5:N35">
    <cfRule type="expression" dxfId="31" priority="2" stopIfTrue="1">
      <formula>WEEKDAY($B5,2)&gt;5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2664D720-BAC8-4BE5-A4FD-2B2DE37BC8AD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B5:N35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39"/>
  <sheetViews>
    <sheetView showGridLines="0" workbookViewId="0">
      <pane xSplit="4" ySplit="4" topLeftCell="E5" activePane="bottomRight" state="frozen"/>
      <selection activeCell="B1" sqref="B1:N1"/>
      <selection pane="topRight" activeCell="B1" sqref="B1:N1"/>
      <selection pane="bottomLeft" activeCell="B1" sqref="B1:N1"/>
      <selection pane="bottomRight" activeCell="E5" sqref="E5"/>
    </sheetView>
  </sheetViews>
  <sheetFormatPr baseColWidth="10" defaultRowHeight="15" x14ac:dyDescent="0.25"/>
  <cols>
    <col min="1" max="1" width="2.28515625" customWidth="1"/>
    <col min="2" max="2" width="8.85546875" customWidth="1"/>
    <col min="3" max="3" width="7.28515625" customWidth="1"/>
    <col min="4" max="4" width="1" customWidth="1"/>
    <col min="5" max="8" width="7.7109375" customWidth="1"/>
    <col min="9" max="9" width="8" customWidth="1"/>
    <col min="10" max="10" width="12.42578125" customWidth="1"/>
    <col min="11" max="11" width="12.140625" customWidth="1"/>
    <col min="12" max="12" width="12.85546875" customWidth="1"/>
    <col min="13" max="13" width="16.5703125" bestFit="1" customWidth="1"/>
    <col min="14" max="14" width="17.85546875" customWidth="1"/>
    <col min="15" max="15" width="4.28515625" customWidth="1"/>
    <col min="16" max="16" width="18.7109375" customWidth="1"/>
    <col min="17" max="17" width="12.28515625" customWidth="1"/>
    <col min="18" max="18" width="11.140625" customWidth="1"/>
    <col min="19" max="19" width="15.7109375" customWidth="1"/>
    <col min="20" max="20" width="4.140625" customWidth="1"/>
    <col min="21" max="21" width="29.140625" customWidth="1"/>
    <col min="22" max="22" width="16" customWidth="1"/>
    <col min="47" max="55" width="13.7109375" customWidth="1"/>
  </cols>
  <sheetData>
    <row r="1" spans="1:54" ht="24.75" customHeight="1" thickBot="1" x14ac:dyDescent="0.5">
      <c r="A1" s="117">
        <v>41639</v>
      </c>
      <c r="B1" s="142">
        <f>EDATE(Januar!$A$1,5)</f>
        <v>41790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54" s="21" customFormat="1" ht="24.75" customHeight="1" thickBot="1" x14ac:dyDescent="0.5">
      <c r="B2" s="59"/>
      <c r="C2" s="59"/>
      <c r="D2" s="59"/>
      <c r="E2" s="60"/>
      <c r="F2" s="60"/>
      <c r="G2" s="60"/>
      <c r="H2" s="60"/>
      <c r="I2" s="59"/>
      <c r="J2" s="59"/>
      <c r="K2" s="59"/>
      <c r="L2" s="59"/>
      <c r="M2" s="59"/>
      <c r="N2" s="59"/>
    </row>
    <row r="3" spans="1:54" ht="19.5" thickBot="1" x14ac:dyDescent="0.35">
      <c r="B3" s="58"/>
      <c r="C3" s="58"/>
      <c r="D3" s="58"/>
      <c r="E3" s="145" t="s">
        <v>0</v>
      </c>
      <c r="F3" s="146"/>
      <c r="G3" s="146"/>
      <c r="H3" s="147"/>
      <c r="I3" s="58"/>
      <c r="J3" s="58"/>
      <c r="K3" s="58"/>
      <c r="L3" s="58"/>
      <c r="M3" s="58"/>
      <c r="N3" s="58"/>
      <c r="O3" s="2"/>
    </row>
    <row r="4" spans="1:54" ht="19.5" thickBot="1" x14ac:dyDescent="0.35">
      <c r="B4" s="41" t="s">
        <v>4</v>
      </c>
      <c r="C4" s="41" t="s">
        <v>5</v>
      </c>
      <c r="D4" s="42"/>
      <c r="E4" s="41" t="s">
        <v>1</v>
      </c>
      <c r="F4" s="41" t="s">
        <v>2</v>
      </c>
      <c r="G4" s="41" t="s">
        <v>1</v>
      </c>
      <c r="H4" s="41" t="s">
        <v>2</v>
      </c>
      <c r="I4" s="41" t="s">
        <v>3</v>
      </c>
      <c r="J4" s="41" t="s">
        <v>7</v>
      </c>
      <c r="K4" s="41" t="s">
        <v>6</v>
      </c>
      <c r="L4" s="41" t="s">
        <v>11</v>
      </c>
      <c r="M4" s="41" t="s">
        <v>56</v>
      </c>
      <c r="N4" s="41" t="s">
        <v>71</v>
      </c>
      <c r="O4" s="20"/>
      <c r="P4" s="150" t="s">
        <v>10</v>
      </c>
      <c r="Q4" s="151"/>
      <c r="R4" s="151"/>
      <c r="S4" s="152"/>
      <c r="U4" s="148" t="s">
        <v>81</v>
      </c>
      <c r="V4" s="149"/>
      <c r="AU4" s="36" t="s">
        <v>46</v>
      </c>
      <c r="AV4" s="36" t="s">
        <v>46</v>
      </c>
      <c r="AW4" s="37" t="s">
        <v>66</v>
      </c>
      <c r="AX4" s="36" t="s">
        <v>67</v>
      </c>
      <c r="AY4" s="6" t="s">
        <v>3</v>
      </c>
      <c r="AZ4" s="36" t="s">
        <v>7</v>
      </c>
      <c r="BA4" s="36" t="s">
        <v>72</v>
      </c>
      <c r="BB4" s="6" t="s">
        <v>6</v>
      </c>
    </row>
    <row r="5" spans="1:54" ht="21.75" thickBot="1" x14ac:dyDescent="0.4">
      <c r="B5" s="45">
        <f>B1</f>
        <v>41790</v>
      </c>
      <c r="C5" s="46">
        <f>B5</f>
        <v>41790</v>
      </c>
      <c r="D5" s="3"/>
      <c r="E5" s="61"/>
      <c r="F5" s="61"/>
      <c r="G5" s="61"/>
      <c r="H5" s="61"/>
      <c r="I5" s="61" t="str">
        <f t="shared" ref="I5:I35" ca="1" si="0">IF(AZ5=0,"",IF(AY5=0,"",IF(OR(B5&lt;=TODAY(),AZ5),AY5,"")))</f>
        <v/>
      </c>
      <c r="J5" s="49">
        <f>IF(AND(Feiertage!$G$2&lt;&gt;"ja",AV5=1),IF(AZ5&gt;0,BB5+AZ5,BB5),IF(AZ5=0,0, IF(I5&lt;&gt;"",AZ5-I5,AZ5)))+AX5</f>
        <v>0</v>
      </c>
      <c r="K5" s="61">
        <f>IF(AV5=0,BB5,IF(Feiertage!$G$2="ja","00:00",BB5))</f>
        <v>0.33333333333333331</v>
      </c>
      <c r="L5" s="52">
        <f t="shared" ref="L5:L18" ca="1" si="1">IF(OR(B5&lt;=TODAY(),J5,AW5="G"),IF(J5&lt;&gt;"",IF(J5-K5=0,"",J5-K5),IF(K5&lt;&gt;"",-K5,"")),"")</f>
        <v>-0.33333333333333331</v>
      </c>
      <c r="M5" s="50" t="str">
        <f>IF(AV5=1,AU5,IF(LOWER(AW5)=LOWER(Urlaub!$W$19),Urlaub!$S$19,
IF(LOWER(AW5)=LOWER(Urlaub!$W$20),Urlaub!$S$20,
IF(LOWER(AW5)=LOWER(Urlaub!$W$21),Urlaub!$S$21,
IF(LOWER(AW5)=LOWER(Urlaub!$W$22),Urlaub!$S$22,
IF(LOWER(AW5)=LOWER(Urlaub!$W$23),Urlaub!$S$23,
IF(LOWER(AW5)=LOWER(Urlaub!$W$24),Urlaub!$S$24,""))))))&amp;IF(AND(EXACT(LOWER(AW5),AW5),AW5&lt;&gt;0)," 1/2",""))</f>
        <v/>
      </c>
      <c r="N5" s="51">
        <f t="shared" ref="N5:N32" si="2">24*J5*IF(WEEKDAY(C5)=WEEKDAY($P$6),$S$6,
IF(WEEKDAY(C5)=WEEKDAY($P$7),$S$7,
IF(WEEKDAY(C5)=WEEKDAY($P$8),$S$8,
IF(WEEKDAY(C5)=WEEKDAY($P$9),$S$9,
IF(WEEKDAY(C5)=WEEKDAY($P$10),$S$10,
IF(WEEKDAY(C5)=WEEKDAY($P$11),$S$11,
IF(WEEKDAY(C5)=WEEKDAY($P$12),$S$12,"")))))))</f>
        <v>0</v>
      </c>
      <c r="P5" s="41" t="s">
        <v>8</v>
      </c>
      <c r="Q5" s="41" t="s">
        <v>6</v>
      </c>
      <c r="R5" s="41" t="s">
        <v>3</v>
      </c>
      <c r="S5" s="41" t="s">
        <v>70</v>
      </c>
      <c r="U5" s="112" t="str">
        <f xml:space="preserve"> "Übertrag aus " &amp; IF( MONTH(B1)=1, YEAR(B1)-1, TEXT(EDATE(B1,-1),"MMMM"))</f>
        <v>Übertrag aus Mai</v>
      </c>
      <c r="V5" s="130">
        <f ca="1">IF(MONTH(B1)&gt;1,INDIRECT(TEXT(EDATE(B1,-1),"MMMM")&amp;"!v10"),"")</f>
        <v>-34.333333333333321</v>
      </c>
      <c r="AU5" t="str">
        <f>IF(AV5=1,VLOOKUP($B5,Feiertage!$B$2:$D$49,3,FALSE),"")</f>
        <v/>
      </c>
      <c r="AV5">
        <f>IF(IFERROR(MATCH($B5,Feiertage!$B$2:$B$49,0)&gt;0,0),1,0)</f>
        <v>0</v>
      </c>
      <c r="AW5" s="22">
        <f>IFERROR(HLOOKUP(DAY(B5),Urlaub!$C$4:$AG$16,MONTH(B5)+1,FALSE),0)</f>
        <v>0</v>
      </c>
      <c r="AX5" s="38">
        <f t="shared" ref="AX5:AX16" si="3">IFERROR(IF(AW5=0,0,IF(EXACT(LOWER(AW5),AW5),0.5*BB5,BB5)),"")</f>
        <v>0</v>
      </c>
      <c r="AY5" s="7">
        <f t="shared" ref="AY5:AY35" si="4">IFERROR(IF(WEEKDAY(C5)=WEEKDAY($P$6),$R$6,
IF(WEEKDAY(C5)=WEEKDAY($P$7),$R$7,
IF(WEEKDAY(C5)=WEEKDAY($P$8),$R$8,
IF(WEEKDAY(C5)=WEEKDAY($P$9),$R$9,
IF(WEEKDAY(C5)=WEEKDAY($P$10),$R$10,
IF(WEEKDAY(C5)=WEEKDAY($P$11),$R$11,
IF(WEEKDAY(C5)=WEEKDAY($P$12),$R$12,""))))))),"")</f>
        <v>2.0833333333333301E-2</v>
      </c>
      <c r="AZ5" s="5">
        <f t="shared" ref="AZ5:AZ35" si="5">IF(F5,IF(E5,IF(E5&gt;F5,F5+"24:00"-E5,F5-E5),0),0)+IF(G5,IF(G5,IF(G5&gt;H5,H5+"24:00"-G5,H5-G5),0),0)</f>
        <v>0</v>
      </c>
      <c r="BA5" s="39">
        <f>AZ5*24</f>
        <v>0</v>
      </c>
      <c r="BB5" s="5">
        <f t="shared" ref="BB5:BB35" si="6">IFERROR(IF(WEEKDAY(C5)=WEEKDAY($P$6),$Q$6,
IF(WEEKDAY(C5)=WEEKDAY($P$7),$Q$7,
IF(WEEKDAY(C5)=WEEKDAY($P$8),$Q$8,
IF(WEEKDAY(C5)=WEEKDAY($P$9),$Q$9,
IF(WEEKDAY(C5)=WEEKDAY($P$10),$Q$10,
IF(WEEKDAY(C5)=WEEKDAY($P$11),$Q$11,
IF(WEEKDAY(C5)=WEEKDAY($P$12),$Q$12,""))))))),"")</f>
        <v>0.33333333333333331</v>
      </c>
    </row>
    <row r="6" spans="1:54" ht="21" x14ac:dyDescent="0.35">
      <c r="B6" s="43">
        <f>B5+1</f>
        <v>41791</v>
      </c>
      <c r="C6" s="44">
        <f>B6</f>
        <v>41791</v>
      </c>
      <c r="D6" s="3"/>
      <c r="E6" s="62"/>
      <c r="F6" s="62"/>
      <c r="G6" s="62"/>
      <c r="H6" s="62"/>
      <c r="I6" s="62" t="str">
        <f t="shared" ca="1" si="0"/>
        <v/>
      </c>
      <c r="J6" s="52">
        <f>IF(AND(Feiertage!$G$2&lt;&gt;"ja",AV6=1),IF(AZ6&gt;0,BB6+AZ6,BB6),IF(AZ6=0,0, IF(I6&lt;&gt;"",AZ6-I6,AZ6)))+AX6</f>
        <v>0</v>
      </c>
      <c r="K6" s="62">
        <f>IF(AV6=0,BB6,IF(Feiertage!$G$2="ja","00:00",BB6))</f>
        <v>0</v>
      </c>
      <c r="L6" s="52" t="str">
        <f t="shared" ca="1" si="1"/>
        <v/>
      </c>
      <c r="M6" s="50" t="str">
        <f>IF(AV6=1,AU6,IF(LOWER(AW6)=LOWER(Urlaub!$W$19),Urlaub!$S$19,
IF(LOWER(AW6)=LOWER(Urlaub!$W$20),Urlaub!$S$20,
IF(LOWER(AW6)=LOWER(Urlaub!$W$21),Urlaub!$S$21,
IF(LOWER(AW6)=LOWER(Urlaub!$W$22),Urlaub!$S$22,
IF(LOWER(AW6)=LOWER(Urlaub!$W$23),Urlaub!$S$23,
IF(LOWER(AW6)=LOWER(Urlaub!$W$24),Urlaub!$S$24,""))))))&amp;IF(AND(EXACT(LOWER(AW6),AW6),AW6&lt;&gt;0)," 1/2",""))</f>
        <v/>
      </c>
      <c r="N6" s="53">
        <f t="shared" si="2"/>
        <v>0</v>
      </c>
      <c r="P6" s="54">
        <v>41639</v>
      </c>
      <c r="Q6" s="63">
        <v>0.33333333333333331</v>
      </c>
      <c r="R6" s="63">
        <v>2.0833333333333332E-2</v>
      </c>
      <c r="S6" s="64"/>
      <c r="U6" s="114" t="s">
        <v>6</v>
      </c>
      <c r="V6" s="113">
        <f>SUM(K5:K35)</f>
        <v>6.9999999999999973</v>
      </c>
      <c r="AU6" t="str">
        <f>IF(AV6=1,VLOOKUP($B6,Feiertage!$B$2:$D$49,3,FALSE),"")</f>
        <v/>
      </c>
      <c r="AV6">
        <f>IF(IFERROR(MATCH($B6,Feiertage!$B$2:$B$49,0)&gt;0,0),1,0)</f>
        <v>0</v>
      </c>
      <c r="AW6" s="22">
        <f>IFERROR(HLOOKUP(DAY(B6),Urlaub!$C$4:$AG$16,MONTH(B6)+1,FALSE),0)</f>
        <v>0</v>
      </c>
      <c r="AX6" s="38">
        <f t="shared" si="3"/>
        <v>0</v>
      </c>
      <c r="AY6" s="7">
        <f t="shared" si="4"/>
        <v>2.0833333333333301E-2</v>
      </c>
      <c r="AZ6" s="5">
        <f t="shared" si="5"/>
        <v>0</v>
      </c>
      <c r="BA6" s="39">
        <f t="shared" ref="BA6:BA35" si="7">AZ6*24</f>
        <v>0</v>
      </c>
      <c r="BB6" s="5">
        <f t="shared" si="6"/>
        <v>0</v>
      </c>
    </row>
    <row r="7" spans="1:54" ht="21" x14ac:dyDescent="0.35">
      <c r="B7" s="43">
        <f t="shared" ref="B7:B32" si="8">B6+1</f>
        <v>41792</v>
      </c>
      <c r="C7" s="44">
        <f t="shared" ref="C7:C35" si="9">B7</f>
        <v>41792</v>
      </c>
      <c r="D7" s="3"/>
      <c r="E7" s="62"/>
      <c r="F7" s="62"/>
      <c r="G7" s="62"/>
      <c r="H7" s="62"/>
      <c r="I7" s="62" t="str">
        <f t="shared" ca="1" si="0"/>
        <v/>
      </c>
      <c r="J7" s="52">
        <f>IF(AND(Feiertage!$G$2&lt;&gt;"ja",AV7=1),IF(AZ7&gt;0,BB7+AZ7,BB7),IF(AZ7=0,0, IF(I7&lt;&gt;"",AZ7-I7,AZ7)))+AX7</f>
        <v>0</v>
      </c>
      <c r="K7" s="62">
        <f>IF(AV7=0,BB7,IF(Feiertage!$G$2="ja","00:00",BB7))</f>
        <v>0</v>
      </c>
      <c r="L7" s="52" t="str">
        <f t="shared" ca="1" si="1"/>
        <v/>
      </c>
      <c r="M7" s="50" t="str">
        <f>IF(AV7=1,AU7,IF(LOWER(AW7)=LOWER(Urlaub!$W$19),Urlaub!$S$19,
IF(LOWER(AW7)=LOWER(Urlaub!$W$20),Urlaub!$S$20,
IF(LOWER(AW7)=LOWER(Urlaub!$W$21),Urlaub!$S$21,
IF(LOWER(AW7)=LOWER(Urlaub!$W$22),Urlaub!$S$22,
IF(LOWER(AW7)=LOWER(Urlaub!$W$23),Urlaub!$S$23,
IF(LOWER(AW7)=LOWER(Urlaub!$W$24),Urlaub!$S$24,""))))))&amp;IF(AND(EXACT(LOWER(AW7),AW7),AW7&lt;&gt;0)," 1/2",""))</f>
        <v/>
      </c>
      <c r="N7" s="53">
        <f t="shared" si="2"/>
        <v>0</v>
      </c>
      <c r="P7" s="55">
        <v>41640</v>
      </c>
      <c r="Q7" s="65">
        <v>0.33333333333333331</v>
      </c>
      <c r="R7" s="63">
        <v>2.0833333333333332E-2</v>
      </c>
      <c r="S7" s="66"/>
      <c r="U7" s="114" t="s">
        <v>7</v>
      </c>
      <c r="V7" s="113">
        <f>SUM(J5:J35)</f>
        <v>0</v>
      </c>
      <c r="AU7" t="str">
        <f>IF(AV7=1,VLOOKUP($B7,Feiertage!$B$2:$D$49,3,FALSE),"")</f>
        <v/>
      </c>
      <c r="AV7">
        <f>IF(IFERROR(MATCH($B7,Feiertage!$B$2:$B$49,0)&gt;0,0),1,0)</f>
        <v>0</v>
      </c>
      <c r="AW7" s="22">
        <f>IFERROR(HLOOKUP(DAY(B7),Urlaub!$C$4:$AG$16,MONTH(B7)+1,FALSE),0)</f>
        <v>0</v>
      </c>
      <c r="AX7" s="38">
        <f t="shared" si="3"/>
        <v>0</v>
      </c>
      <c r="AY7" s="7">
        <f t="shared" si="4"/>
        <v>2.0833333333333301E-2</v>
      </c>
      <c r="AZ7" s="5">
        <f t="shared" si="5"/>
        <v>0</v>
      </c>
      <c r="BA7" s="39">
        <f t="shared" si="7"/>
        <v>0</v>
      </c>
      <c r="BB7" s="5">
        <f t="shared" si="6"/>
        <v>0</v>
      </c>
    </row>
    <row r="8" spans="1:54" ht="21" x14ac:dyDescent="0.35">
      <c r="B8" s="43">
        <f t="shared" si="8"/>
        <v>41793</v>
      </c>
      <c r="C8" s="44">
        <f t="shared" si="9"/>
        <v>41793</v>
      </c>
      <c r="D8" s="3"/>
      <c r="E8" s="62"/>
      <c r="F8" s="62"/>
      <c r="G8" s="62"/>
      <c r="H8" s="62"/>
      <c r="I8" s="62" t="str">
        <f t="shared" ca="1" si="0"/>
        <v/>
      </c>
      <c r="J8" s="52">
        <f>IF(AND(Feiertage!$G$2&lt;&gt;"ja",AV8=1),IF(AZ8&gt;0,BB8+AZ8,BB8),IF(AZ8=0,0, IF(I8&lt;&gt;"",AZ8-I8,AZ8)))+AX8</f>
        <v>0</v>
      </c>
      <c r="K8" s="62">
        <f>IF(AV8=0,BB8,IF(Feiertage!$G$2="ja","00:00",BB8))</f>
        <v>0.33333333333333331</v>
      </c>
      <c r="L8" s="52">
        <f t="shared" ca="1" si="1"/>
        <v>-0.33333333333333331</v>
      </c>
      <c r="M8" s="50" t="str">
        <f>IF(AV8=1,AU8,IF(LOWER(AW8)=LOWER(Urlaub!$W$19),Urlaub!$S$19,
IF(LOWER(AW8)=LOWER(Urlaub!$W$20),Urlaub!$S$20,
IF(LOWER(AW8)=LOWER(Urlaub!$W$21),Urlaub!$S$21,
IF(LOWER(AW8)=LOWER(Urlaub!$W$22),Urlaub!$S$22,
IF(LOWER(AW8)=LOWER(Urlaub!$W$23),Urlaub!$S$23,
IF(LOWER(AW8)=LOWER(Urlaub!$W$24),Urlaub!$S$24,""))))))&amp;IF(AND(EXACT(LOWER(AW8),AW8),AW8&lt;&gt;0)," 1/2",""))</f>
        <v/>
      </c>
      <c r="N8" s="53">
        <f t="shared" si="2"/>
        <v>0</v>
      </c>
      <c r="P8" s="55">
        <v>41641</v>
      </c>
      <c r="Q8" s="65">
        <v>0.33333333333333331</v>
      </c>
      <c r="R8" s="63">
        <v>2.0833333333333301E-2</v>
      </c>
      <c r="S8" s="66"/>
      <c r="U8" s="115" t="str">
        <f xml:space="preserve"> "Saldo " &amp; TEXT(B1,"MMMM")</f>
        <v>Saldo Juni</v>
      </c>
      <c r="V8" s="132">
        <f ca="1">SUM(L5:L35)</f>
        <v>-6.9999999999999973</v>
      </c>
      <c r="AU8" t="str">
        <f>IF(AV8=1,VLOOKUP($B8,Feiertage!$B$2:$D$49,3,FALSE),"")</f>
        <v/>
      </c>
      <c r="AV8">
        <f>IF(IFERROR(MATCH($B8,Feiertage!$B$2:$B$49,0)&gt;0,0),1,0)</f>
        <v>0</v>
      </c>
      <c r="AW8" s="22">
        <f>IFERROR(HLOOKUP(DAY(B8),Urlaub!$C$4:$AG$16,MONTH(B8)+1,FALSE),0)</f>
        <v>0</v>
      </c>
      <c r="AX8" s="38">
        <f t="shared" si="3"/>
        <v>0</v>
      </c>
      <c r="AY8" s="7">
        <f t="shared" si="4"/>
        <v>2.0833333333333332E-2</v>
      </c>
      <c r="AZ8" s="5">
        <f t="shared" si="5"/>
        <v>0</v>
      </c>
      <c r="BA8" s="39">
        <f t="shared" si="7"/>
        <v>0</v>
      </c>
      <c r="BB8" s="5">
        <f t="shared" si="6"/>
        <v>0.33333333333333331</v>
      </c>
    </row>
    <row r="9" spans="1:54" ht="18.75" x14ac:dyDescent="0.3">
      <c r="B9" s="43">
        <f t="shared" si="8"/>
        <v>41794</v>
      </c>
      <c r="C9" s="44">
        <f t="shared" si="9"/>
        <v>41794</v>
      </c>
      <c r="D9" s="3"/>
      <c r="E9" s="62"/>
      <c r="F9" s="62"/>
      <c r="G9" s="62"/>
      <c r="H9" s="62"/>
      <c r="I9" s="62" t="str">
        <f t="shared" ca="1" si="0"/>
        <v/>
      </c>
      <c r="J9" s="52">
        <f>IF(AND(Feiertage!$G$2&lt;&gt;"ja",AV9=1),IF(AZ9&gt;0,BB9+AZ9,BB9),IF(AZ9=0,0, IF(I9&lt;&gt;"",AZ9-I9,AZ9)))+AX9</f>
        <v>0</v>
      </c>
      <c r="K9" s="62">
        <f>IF(AV9=0,BB9,IF(Feiertage!$G$2="ja","00:00",BB9))</f>
        <v>0.33333333333333331</v>
      </c>
      <c r="L9" s="52">
        <f t="shared" ca="1" si="1"/>
        <v>-0.33333333333333331</v>
      </c>
      <c r="M9" s="50" t="str">
        <f>IF(AV9=1,AU9,IF(LOWER(AW9)=LOWER(Urlaub!$W$19),Urlaub!$S$19,
IF(LOWER(AW9)=LOWER(Urlaub!$W$20),Urlaub!$S$20,
IF(LOWER(AW9)=LOWER(Urlaub!$W$21),Urlaub!$S$21,
IF(LOWER(AW9)=LOWER(Urlaub!$W$22),Urlaub!$S$22,
IF(LOWER(AW9)=LOWER(Urlaub!$W$23),Urlaub!$S$23,
IF(LOWER(AW9)=LOWER(Urlaub!$W$24),Urlaub!$S$24,""))))))&amp;IF(AND(EXACT(LOWER(AW9),AW9),AW9&lt;&gt;0)," 1/2",""))</f>
        <v/>
      </c>
      <c r="N9" s="53">
        <f t="shared" si="2"/>
        <v>0</v>
      </c>
      <c r="P9" s="55">
        <v>41642</v>
      </c>
      <c r="Q9" s="65">
        <v>0.33333333333333331</v>
      </c>
      <c r="R9" s="63">
        <v>2.0833333333333301E-2</v>
      </c>
      <c r="S9" s="66"/>
      <c r="U9" s="131" t="s">
        <v>85</v>
      </c>
      <c r="V9" s="134"/>
      <c r="AU9" t="str">
        <f>IF(AV9=1,VLOOKUP($B9,Feiertage!$B$2:$D$49,3,FALSE),"")</f>
        <v/>
      </c>
      <c r="AV9">
        <f>IF(IFERROR(MATCH($B9,Feiertage!$B$2:$B$49,0)&gt;0,0),1,0)</f>
        <v>0</v>
      </c>
      <c r="AW9" s="22">
        <f>IFERROR(HLOOKUP(DAY(B9),Urlaub!$C$4:$AG$16,MONTH(B9)+1,FALSE),0)</f>
        <v>0</v>
      </c>
      <c r="AX9" s="38">
        <f t="shared" si="3"/>
        <v>0</v>
      </c>
      <c r="AY9" s="7">
        <f t="shared" si="4"/>
        <v>2.0833333333333332E-2</v>
      </c>
      <c r="AZ9" s="5">
        <f t="shared" si="5"/>
        <v>0</v>
      </c>
      <c r="BA9" s="39">
        <f t="shared" si="7"/>
        <v>0</v>
      </c>
      <c r="BB9" s="5">
        <f t="shared" si="6"/>
        <v>0.33333333333333331</v>
      </c>
    </row>
    <row r="10" spans="1:54" ht="21.75" thickBot="1" x14ac:dyDescent="0.4">
      <c r="B10" s="43">
        <f t="shared" si="8"/>
        <v>41795</v>
      </c>
      <c r="C10" s="44">
        <f t="shared" si="9"/>
        <v>41795</v>
      </c>
      <c r="D10" s="3"/>
      <c r="E10" s="62"/>
      <c r="F10" s="62"/>
      <c r="G10" s="62"/>
      <c r="H10" s="62"/>
      <c r="I10" s="62" t="str">
        <f t="shared" ca="1" si="0"/>
        <v/>
      </c>
      <c r="J10" s="52">
        <f>IF(AND(Feiertage!$G$2&lt;&gt;"ja",AV10=1),IF(AZ10&gt;0,BB10+AZ10,BB10),IF(AZ10=0,0, IF(I10&lt;&gt;"",AZ10-I10,AZ10)))+AX10</f>
        <v>0</v>
      </c>
      <c r="K10" s="62">
        <f>IF(AV10=0,BB10,IF(Feiertage!$G$2="ja","00:00",BB10))</f>
        <v>0.33333333333333331</v>
      </c>
      <c r="L10" s="52">
        <f t="shared" ca="1" si="1"/>
        <v>-0.33333333333333331</v>
      </c>
      <c r="M10" s="50" t="str">
        <f>IF(AV10=1,AU10,IF(LOWER(AW10)=LOWER(Urlaub!$W$19),Urlaub!$S$19,
IF(LOWER(AW10)=LOWER(Urlaub!$W$20),Urlaub!$S$20,
IF(LOWER(AW10)=LOWER(Urlaub!$W$21),Urlaub!$S$21,
IF(LOWER(AW10)=LOWER(Urlaub!$W$22),Urlaub!$S$22,
IF(LOWER(AW10)=LOWER(Urlaub!$W$23),Urlaub!$S$23,
IF(LOWER(AW10)=LOWER(Urlaub!$W$24),Urlaub!$S$24,""))))))&amp;IF(AND(EXACT(LOWER(AW10),AW10),AW10&lt;&gt;0)," 1/2",""))</f>
        <v/>
      </c>
      <c r="N10" s="53">
        <f t="shared" si="2"/>
        <v>0</v>
      </c>
      <c r="P10" s="55">
        <v>41643</v>
      </c>
      <c r="Q10" s="65">
        <v>0.33333333333333331</v>
      </c>
      <c r="R10" s="63">
        <v>2.0833333333333301E-2</v>
      </c>
      <c r="S10" s="66"/>
      <c r="U10" s="116" t="str">
        <f xml:space="preserve"> "Übertrag in " &amp;  IF( MONTH(B1)=12, YEAR(B1)+1, TEXT(EDATE(B1,1),"MMMM"))</f>
        <v>Übertrag in Juli</v>
      </c>
      <c r="V10" s="133">
        <f ca="1">IF(V5="",0,V5)+V8+V9</f>
        <v>-41.333333333333321</v>
      </c>
      <c r="AU10" t="str">
        <f>IF(AV10=1,VLOOKUP($B10,Feiertage!$B$2:$D$49,3,FALSE),"")</f>
        <v/>
      </c>
      <c r="AV10">
        <f>IF(IFERROR(MATCH($B10,Feiertage!$B$2:$B$49,0)&gt;0,0),1,0)</f>
        <v>0</v>
      </c>
      <c r="AW10" s="22">
        <f>IFERROR(HLOOKUP(DAY(B10),Urlaub!$C$4:$AG$16,MONTH(B10)+1,FALSE),0)</f>
        <v>0</v>
      </c>
      <c r="AX10" s="38">
        <f t="shared" si="3"/>
        <v>0</v>
      </c>
      <c r="AY10" s="7">
        <f t="shared" si="4"/>
        <v>2.0833333333333301E-2</v>
      </c>
      <c r="AZ10" s="5">
        <f t="shared" si="5"/>
        <v>0</v>
      </c>
      <c r="BA10" s="39">
        <f t="shared" si="7"/>
        <v>0</v>
      </c>
      <c r="BB10" s="5">
        <f t="shared" si="6"/>
        <v>0.33333333333333331</v>
      </c>
    </row>
    <row r="11" spans="1:54" ht="18.75" x14ac:dyDescent="0.3">
      <c r="B11" s="43">
        <f t="shared" si="8"/>
        <v>41796</v>
      </c>
      <c r="C11" s="44">
        <f t="shared" si="9"/>
        <v>41796</v>
      </c>
      <c r="D11" s="3"/>
      <c r="E11" s="62"/>
      <c r="F11" s="62"/>
      <c r="G11" s="62"/>
      <c r="H11" s="62"/>
      <c r="I11" s="62" t="str">
        <f t="shared" ca="1" si="0"/>
        <v/>
      </c>
      <c r="J11" s="52">
        <f>IF(AND(Feiertage!$G$2&lt;&gt;"ja",AV11=1),IF(AZ11&gt;0,BB11+AZ11,BB11),IF(AZ11=0,0, IF(I11&lt;&gt;"",AZ11-I11,AZ11)))+AX11</f>
        <v>0</v>
      </c>
      <c r="K11" s="62">
        <f>IF(AV11=0,BB11,IF(Feiertage!$G$2="ja","00:00",BB11))</f>
        <v>0.33333333333333331</v>
      </c>
      <c r="L11" s="52">
        <f t="shared" ca="1" si="1"/>
        <v>-0.33333333333333331</v>
      </c>
      <c r="M11" s="50" t="str">
        <f>IF(AV11=1,AU11,IF(LOWER(AW11)=LOWER(Urlaub!$W$19),Urlaub!$S$19,
IF(LOWER(AW11)=LOWER(Urlaub!$W$20),Urlaub!$S$20,
IF(LOWER(AW11)=LOWER(Urlaub!$W$21),Urlaub!$S$21,
IF(LOWER(AW11)=LOWER(Urlaub!$W$22),Urlaub!$S$22,
IF(LOWER(AW11)=LOWER(Urlaub!$W$23),Urlaub!$S$23,
IF(LOWER(AW11)=LOWER(Urlaub!$W$24),Urlaub!$S$24,""))))))&amp;IF(AND(EXACT(LOWER(AW11),AW11),AW11&lt;&gt;0)," 1/2",""))</f>
        <v/>
      </c>
      <c r="N11" s="53">
        <f t="shared" si="2"/>
        <v>0</v>
      </c>
      <c r="O11" s="21"/>
      <c r="P11" s="79">
        <v>41644</v>
      </c>
      <c r="Q11" s="67">
        <v>0</v>
      </c>
      <c r="R11" s="63">
        <v>2.0833333333333301E-2</v>
      </c>
      <c r="S11" s="66"/>
      <c r="AU11" t="str">
        <f>IF(AV11=1,VLOOKUP($B11,Feiertage!$B$2:$D$49,3,FALSE),"")</f>
        <v/>
      </c>
      <c r="AV11">
        <f>IF(IFERROR(MATCH($B11,Feiertage!$B$2:$B$49,0)&gt;0,0),1,0)</f>
        <v>0</v>
      </c>
      <c r="AW11" s="22">
        <f>IFERROR(HLOOKUP(DAY(B11),Urlaub!$C$4:$AG$16,MONTH(B11)+1,FALSE),0)</f>
        <v>0</v>
      </c>
      <c r="AX11" s="38">
        <f t="shared" si="3"/>
        <v>0</v>
      </c>
      <c r="AY11" s="7">
        <f t="shared" si="4"/>
        <v>2.0833333333333301E-2</v>
      </c>
      <c r="AZ11" s="5">
        <f>IF(F11,IF(E11,IF(E11&gt;F11,F11+"24:00"-E11,F11-E11),0),0)+IF(G11,IF(G11,IF(G11&gt;H11,H11+"24:00"-G11,H11-G11),0),0)</f>
        <v>0</v>
      </c>
      <c r="BA11" s="39">
        <f t="shared" si="7"/>
        <v>0</v>
      </c>
      <c r="BB11" s="5">
        <f t="shared" si="6"/>
        <v>0.33333333333333331</v>
      </c>
    </row>
    <row r="12" spans="1:54" ht="19.5" thickBot="1" x14ac:dyDescent="0.35">
      <c r="B12" s="43">
        <f t="shared" si="8"/>
        <v>41797</v>
      </c>
      <c r="C12" s="44">
        <f t="shared" si="9"/>
        <v>41797</v>
      </c>
      <c r="D12" s="3"/>
      <c r="E12" s="62"/>
      <c r="F12" s="62"/>
      <c r="G12" s="62"/>
      <c r="H12" s="62"/>
      <c r="I12" s="62" t="str">
        <f t="shared" ca="1" si="0"/>
        <v/>
      </c>
      <c r="J12" s="52">
        <f>IF(AND(Feiertage!$G$2&lt;&gt;"ja",AV12=1),IF(AZ12&gt;0,BB12+AZ12,BB12),IF(AZ12=0,0, IF(I12&lt;&gt;"",AZ12-I12,AZ12)))+AX12</f>
        <v>0</v>
      </c>
      <c r="K12" s="62">
        <f>IF(AV12=0,BB12,IF(Feiertage!$G$2="ja","00:00",BB12))</f>
        <v>0.33333333333333331</v>
      </c>
      <c r="L12" s="52">
        <f t="shared" ca="1" si="1"/>
        <v>-0.33333333333333331</v>
      </c>
      <c r="M12" s="50" t="str">
        <f>IF(AV12=1,AU12,IF(LOWER(AW12)=LOWER(Urlaub!$W$19),Urlaub!$S$19,
IF(LOWER(AW12)=LOWER(Urlaub!$W$20),Urlaub!$S$20,
IF(LOWER(AW12)=LOWER(Urlaub!$W$21),Urlaub!$S$21,
IF(LOWER(AW12)=LOWER(Urlaub!$W$22),Urlaub!$S$22,
IF(LOWER(AW12)=LOWER(Urlaub!$W$23),Urlaub!$S$23,
IF(LOWER(AW12)=LOWER(Urlaub!$W$24),Urlaub!$S$24,""))))))&amp;IF(AND(EXACT(LOWER(AW12),AW12),AW12&lt;&gt;0)," 1/2",""))</f>
        <v/>
      </c>
      <c r="N12" s="53">
        <f t="shared" si="2"/>
        <v>0</v>
      </c>
      <c r="P12" s="80">
        <v>41645</v>
      </c>
      <c r="Q12" s="68">
        <v>0</v>
      </c>
      <c r="R12" s="110">
        <v>2.0833333333333301E-2</v>
      </c>
      <c r="S12" s="69"/>
      <c r="AU12" t="str">
        <f>IF(AV12=1,VLOOKUP($B12,Feiertage!$B$2:$D$49,3,FALSE),"")</f>
        <v/>
      </c>
      <c r="AV12">
        <f>IF(IFERROR(MATCH($B12,Feiertage!$B$2:$B$49,0)&gt;0,0),1,0)</f>
        <v>0</v>
      </c>
      <c r="AW12" s="22">
        <f>IFERROR(HLOOKUP(DAY(B12),Urlaub!$C$4:$AG$16,MONTH(B12)+1,FALSE),0)</f>
        <v>0</v>
      </c>
      <c r="AX12" s="38">
        <f t="shared" si="3"/>
        <v>0</v>
      </c>
      <c r="AY12" s="7">
        <f t="shared" si="4"/>
        <v>2.0833333333333301E-2</v>
      </c>
      <c r="AZ12" s="5">
        <f>IF(F12,IF(E12,IF(E12&gt;F12,F12+"24:00"-E12,F12-E12),0),0)+IF(G12,IF(G12,IF(G12&gt;H12,H12+"24:00"-G12,H12-G12),0),0)</f>
        <v>0</v>
      </c>
      <c r="BA12" s="39">
        <f t="shared" si="7"/>
        <v>0</v>
      </c>
      <c r="BB12" s="5">
        <f t="shared" si="6"/>
        <v>0.33333333333333331</v>
      </c>
    </row>
    <row r="13" spans="1:54" ht="19.5" thickBot="1" x14ac:dyDescent="0.35">
      <c r="B13" s="43">
        <f t="shared" si="8"/>
        <v>41798</v>
      </c>
      <c r="C13" s="44">
        <f t="shared" si="9"/>
        <v>41798</v>
      </c>
      <c r="D13" s="3"/>
      <c r="E13" s="62"/>
      <c r="F13" s="62"/>
      <c r="G13" s="62"/>
      <c r="H13" s="62"/>
      <c r="I13" s="62" t="str">
        <f t="shared" ca="1" si="0"/>
        <v/>
      </c>
      <c r="J13" s="52">
        <f>IF(AND(Feiertage!$G$2&lt;&gt;"ja",AV13=1),IF(AZ13&gt;0,BB13+AZ13,BB13),IF(AZ13=0,0, IF(I13&lt;&gt;"",AZ13-I13,AZ13)))+AX13</f>
        <v>0</v>
      </c>
      <c r="K13" s="62">
        <f>IF(AV13=0,BB13,IF(Feiertage!$G$2="ja","00:00",BB13))</f>
        <v>0</v>
      </c>
      <c r="L13" s="52" t="str">
        <f t="shared" ca="1" si="1"/>
        <v/>
      </c>
      <c r="M13" s="50" t="str">
        <f>IF(AV13=1,AU13,IF(LOWER(AW13)=LOWER(Urlaub!$W$19),Urlaub!$S$19,
IF(LOWER(AW13)=LOWER(Urlaub!$W$20),Urlaub!$S$20,
IF(LOWER(AW13)=LOWER(Urlaub!$W$21),Urlaub!$S$21,
IF(LOWER(AW13)=LOWER(Urlaub!$W$22),Urlaub!$S$22,
IF(LOWER(AW13)=LOWER(Urlaub!$W$23),Urlaub!$S$23,
IF(LOWER(AW13)=LOWER(Urlaub!$W$24),Urlaub!$S$24,""))))))&amp;IF(AND(EXACT(LOWER(AW13),AW13),AW13&lt;&gt;0)," 1/2",""))</f>
        <v/>
      </c>
      <c r="N13" s="53">
        <f t="shared" si="2"/>
        <v>0</v>
      </c>
      <c r="P13" s="56" t="s">
        <v>9</v>
      </c>
      <c r="Q13" s="57">
        <f>SUM(Q6:Q12)</f>
        <v>1.6666666666666665</v>
      </c>
      <c r="R13" s="4"/>
      <c r="Y13" s="7"/>
      <c r="AU13" t="str">
        <f>IF(AV13=1,VLOOKUP($B13,Feiertage!$B$2:$D$49,3,FALSE),"")</f>
        <v/>
      </c>
      <c r="AV13">
        <f>IF(IFERROR(MATCH($B13,Feiertage!$B$2:$B$49,0)&gt;0,0),1,0)</f>
        <v>0</v>
      </c>
      <c r="AW13" s="22">
        <f>IFERROR(HLOOKUP(DAY(B13),Urlaub!$C$4:$AG$16,MONTH(B13)+1,FALSE),0)</f>
        <v>0</v>
      </c>
      <c r="AX13" s="38">
        <f t="shared" si="3"/>
        <v>0</v>
      </c>
      <c r="AY13" s="7">
        <f t="shared" si="4"/>
        <v>2.0833333333333301E-2</v>
      </c>
      <c r="AZ13" s="5">
        <f t="shared" si="5"/>
        <v>0</v>
      </c>
      <c r="BA13" s="39">
        <f t="shared" si="7"/>
        <v>0</v>
      </c>
      <c r="BB13" s="5">
        <f t="shared" si="6"/>
        <v>0</v>
      </c>
    </row>
    <row r="14" spans="1:54" ht="18.75" x14ac:dyDescent="0.3">
      <c r="B14" s="43">
        <f t="shared" si="8"/>
        <v>41799</v>
      </c>
      <c r="C14" s="44">
        <f t="shared" si="9"/>
        <v>41799</v>
      </c>
      <c r="D14" s="3"/>
      <c r="E14" s="62"/>
      <c r="F14" s="62"/>
      <c r="G14" s="62"/>
      <c r="H14" s="62"/>
      <c r="I14" s="62" t="str">
        <f t="shared" ca="1" si="0"/>
        <v/>
      </c>
      <c r="J14" s="52">
        <f>IF(AND(Feiertage!$G$2&lt;&gt;"ja",AV14=1),IF(AZ14&gt;0,BB14+AZ14,BB14),IF(AZ14=0,0, IF(I14&lt;&gt;"",AZ14-I14,AZ14)))+AX14</f>
        <v>0</v>
      </c>
      <c r="K14" s="62">
        <f>IF(AV14=0,BB14,IF(Feiertage!$G$2="ja","00:00",BB14))</f>
        <v>0</v>
      </c>
      <c r="L14" s="52" t="str">
        <f t="shared" ca="1" si="1"/>
        <v/>
      </c>
      <c r="M14" s="50" t="str">
        <f>IF(AV14=1,AU14,IF(LOWER(AW14)=LOWER(Urlaub!$W$19),Urlaub!$S$19,
IF(LOWER(AW14)=LOWER(Urlaub!$W$20),Urlaub!$S$20,
IF(LOWER(AW14)=LOWER(Urlaub!$W$21),Urlaub!$S$21,
IF(LOWER(AW14)=LOWER(Urlaub!$W$22),Urlaub!$S$22,
IF(LOWER(AW14)=LOWER(Urlaub!$W$23),Urlaub!$S$23,
IF(LOWER(AW14)=LOWER(Urlaub!$W$24),Urlaub!$S$24,""))))))&amp;IF(AND(EXACT(LOWER(AW14),AW14),AW14&lt;&gt;0)," 1/2",""))</f>
        <v/>
      </c>
      <c r="N14" s="53">
        <f t="shared" si="2"/>
        <v>0</v>
      </c>
      <c r="O14" s="6"/>
      <c r="AU14" t="str">
        <f>IF(AV14=1,VLOOKUP($B14,Feiertage!$B$2:$D$49,3,FALSE),"")</f>
        <v/>
      </c>
      <c r="AV14">
        <f>IF(IFERROR(MATCH($B14,Feiertage!$B$2:$B$49,0)&gt;0,0),1,0)</f>
        <v>0</v>
      </c>
      <c r="AW14" s="22">
        <f>IFERROR(HLOOKUP(DAY(B14),Urlaub!$C$4:$AG$16,MONTH(B14)+1,FALSE),0)</f>
        <v>0</v>
      </c>
      <c r="AX14" s="38">
        <f t="shared" si="3"/>
        <v>0</v>
      </c>
      <c r="AY14" s="7">
        <f t="shared" si="4"/>
        <v>2.0833333333333301E-2</v>
      </c>
      <c r="AZ14" s="5">
        <f t="shared" si="5"/>
        <v>0</v>
      </c>
      <c r="BA14" s="39">
        <f t="shared" si="7"/>
        <v>0</v>
      </c>
      <c r="BB14" s="5">
        <f t="shared" si="6"/>
        <v>0</v>
      </c>
    </row>
    <row r="15" spans="1:54" ht="19.5" thickBot="1" x14ac:dyDescent="0.35">
      <c r="B15" s="43">
        <f t="shared" si="8"/>
        <v>41800</v>
      </c>
      <c r="C15" s="44">
        <f t="shared" si="9"/>
        <v>41800</v>
      </c>
      <c r="D15" s="3"/>
      <c r="E15" s="62"/>
      <c r="F15" s="62"/>
      <c r="G15" s="62"/>
      <c r="H15" s="62"/>
      <c r="I15" s="62" t="str">
        <f t="shared" ca="1" si="0"/>
        <v/>
      </c>
      <c r="J15" s="52">
        <f>IF(AND(Feiertage!$G$2&lt;&gt;"ja",AV15=1),IF(AZ15&gt;0,BB15+AZ15,BB15),IF(AZ15=0,0, IF(I15&lt;&gt;"",AZ15-I15,AZ15)))+AX15</f>
        <v>0</v>
      </c>
      <c r="K15" s="62">
        <f>IF(AV15=0,BB15,IF(Feiertage!$G$2="ja","00:00",BB15))</f>
        <v>0.33333333333333331</v>
      </c>
      <c r="L15" s="52">
        <f t="shared" ca="1" si="1"/>
        <v>-0.33333333333333331</v>
      </c>
      <c r="M15" s="50" t="str">
        <f>IF(AV15=1,AU15,IF(LOWER(AW15)=LOWER(Urlaub!$W$19),Urlaub!$S$19,
IF(LOWER(AW15)=LOWER(Urlaub!$W$20),Urlaub!$S$20,
IF(LOWER(AW15)=LOWER(Urlaub!$W$21),Urlaub!$S$21,
IF(LOWER(AW15)=LOWER(Urlaub!$W$22),Urlaub!$S$22,
IF(LOWER(AW15)=LOWER(Urlaub!$W$23),Urlaub!$S$23,
IF(LOWER(AW15)=LOWER(Urlaub!$W$24),Urlaub!$S$24,""))))))&amp;IF(AND(EXACT(LOWER(AW15),AW15),AW15&lt;&gt;0)," 1/2",""))</f>
        <v/>
      </c>
      <c r="N15" s="53">
        <f t="shared" si="2"/>
        <v>0</v>
      </c>
      <c r="P15" s="153" t="s">
        <v>86</v>
      </c>
      <c r="Q15" s="154"/>
      <c r="R15" s="154"/>
      <c r="S15" s="154"/>
      <c r="T15" s="154"/>
      <c r="U15" s="154"/>
      <c r="V15" s="154"/>
      <c r="AU15" t="str">
        <f>IF(AV15=1,VLOOKUP($B15,Feiertage!$B$2:$D$49,3,FALSE),"")</f>
        <v/>
      </c>
      <c r="AV15">
        <f>IF(IFERROR(MATCH($B15,Feiertage!$B$2:$B$49,0)&gt;0,0),1,0)</f>
        <v>0</v>
      </c>
      <c r="AW15" s="22">
        <f>IFERROR(HLOOKUP(DAY(B15),Urlaub!$C$4:$AG$16,MONTH(B15)+1,FALSE),0)</f>
        <v>0</v>
      </c>
      <c r="AX15" s="38">
        <f t="shared" si="3"/>
        <v>0</v>
      </c>
      <c r="AY15" s="7">
        <f t="shared" si="4"/>
        <v>2.0833333333333332E-2</v>
      </c>
      <c r="AZ15" s="5">
        <f t="shared" si="5"/>
        <v>0</v>
      </c>
      <c r="BA15" s="39">
        <f t="shared" si="7"/>
        <v>0</v>
      </c>
      <c r="BB15" s="5">
        <f t="shared" si="6"/>
        <v>0.33333333333333331</v>
      </c>
    </row>
    <row r="16" spans="1:54" ht="18.75" x14ac:dyDescent="0.3">
      <c r="B16" s="43">
        <f t="shared" si="8"/>
        <v>41801</v>
      </c>
      <c r="C16" s="44">
        <f t="shared" si="9"/>
        <v>41801</v>
      </c>
      <c r="D16" s="3"/>
      <c r="E16" s="62"/>
      <c r="F16" s="62"/>
      <c r="G16" s="62"/>
      <c r="H16" s="62"/>
      <c r="I16" s="62" t="str">
        <f t="shared" ca="1" si="0"/>
        <v/>
      </c>
      <c r="J16" s="52">
        <f>IF(AND(Feiertage!$G$2&lt;&gt;"ja",AV16=1),IF(AZ16&gt;0,BB16+AZ16,BB16),IF(AZ16=0,0, IF(I16&lt;&gt;"",AZ16-I16,AZ16)))+AX16</f>
        <v>0</v>
      </c>
      <c r="K16" s="62">
        <f>IF(AV16=0,BB16,IF(Feiertage!$G$2="ja","00:00",BB16))</f>
        <v>0.33333333333333331</v>
      </c>
      <c r="L16" s="52">
        <f t="shared" ca="1" si="1"/>
        <v>-0.33333333333333331</v>
      </c>
      <c r="M16" s="50" t="str">
        <f>IF(AV16=1,AU16,IF(LOWER(AW16)=LOWER(Urlaub!$W$19),Urlaub!$S$19,
IF(LOWER(AW16)=LOWER(Urlaub!$W$20),Urlaub!$S$20,
IF(LOWER(AW16)=LOWER(Urlaub!$W$21),Urlaub!$S$21,
IF(LOWER(AW16)=LOWER(Urlaub!$W$22),Urlaub!$S$22,
IF(LOWER(AW16)=LOWER(Urlaub!$W$23),Urlaub!$S$23,
IF(LOWER(AW16)=LOWER(Urlaub!$W$24),Urlaub!$S$24,""))))))&amp;IF(AND(EXACT(LOWER(AW16),AW16),AW16&lt;&gt;0)," 1/2",""))</f>
        <v/>
      </c>
      <c r="N16" s="53">
        <f t="shared" si="2"/>
        <v>0</v>
      </c>
      <c r="P16" s="155"/>
      <c r="Q16" s="156"/>
      <c r="R16" s="156"/>
      <c r="S16" s="156"/>
      <c r="T16" s="156"/>
      <c r="U16" s="156"/>
      <c r="V16" s="157"/>
      <c r="AU16" t="str">
        <f>IF(AV16=1,VLOOKUP($B16,Feiertage!$B$2:$D$49,3,FALSE),"")</f>
        <v/>
      </c>
      <c r="AV16">
        <f>IF(IFERROR(MATCH($B16,Feiertage!$B$2:$B$49,0)&gt;0,0),1,0)</f>
        <v>0</v>
      </c>
      <c r="AW16" s="22">
        <f>IFERROR(HLOOKUP(DAY(B16),Urlaub!$C$4:$AG$16,MONTH(B16)+1,FALSE),0)</f>
        <v>0</v>
      </c>
      <c r="AX16" s="38">
        <f t="shared" si="3"/>
        <v>0</v>
      </c>
      <c r="AY16" s="7">
        <f t="shared" si="4"/>
        <v>2.0833333333333332E-2</v>
      </c>
      <c r="AZ16" s="5">
        <f t="shared" si="5"/>
        <v>0</v>
      </c>
      <c r="BA16" s="39">
        <f t="shared" si="7"/>
        <v>0</v>
      </c>
      <c r="BB16" s="5">
        <f t="shared" si="6"/>
        <v>0.33333333333333331</v>
      </c>
    </row>
    <row r="17" spans="2:54" ht="18.75" x14ac:dyDescent="0.3">
      <c r="B17" s="43">
        <f t="shared" si="8"/>
        <v>41802</v>
      </c>
      <c r="C17" s="44">
        <f t="shared" si="9"/>
        <v>41802</v>
      </c>
      <c r="D17" s="3"/>
      <c r="E17" s="62"/>
      <c r="F17" s="62"/>
      <c r="G17" s="62"/>
      <c r="H17" s="62"/>
      <c r="I17" s="62" t="str">
        <f t="shared" ca="1" si="0"/>
        <v/>
      </c>
      <c r="J17" s="52">
        <f>IF(AND(Feiertage!$G$2&lt;&gt;"ja",AV17=1),IF(AZ17&gt;0,BB17+AZ17,BB17),IF(AZ17=0,0, IF(I17&lt;&gt;"",AZ17-I17,AZ17)))+AX17</f>
        <v>0</v>
      </c>
      <c r="K17" s="62">
        <f>IF(AV17=0,BB17,IF(Feiertage!$G$2="ja","00:00",BB17))</f>
        <v>0.33333333333333331</v>
      </c>
      <c r="L17" s="52">
        <f t="shared" ca="1" si="1"/>
        <v>-0.33333333333333331</v>
      </c>
      <c r="M17" s="50" t="str">
        <f>IF(AV17=1,AU17,IF(LOWER(AW17)=LOWER(Urlaub!$W$19),Urlaub!$S$19,
IF(LOWER(AW17)=LOWER(Urlaub!$W$20),Urlaub!$S$20,
IF(LOWER(AW17)=LOWER(Urlaub!$W$21),Urlaub!$S$21,
IF(LOWER(AW17)=LOWER(Urlaub!$W$22),Urlaub!$S$22,
IF(LOWER(AW17)=LOWER(Urlaub!$W$23),Urlaub!$S$23,
IF(LOWER(AW17)=LOWER(Urlaub!$W$24),Urlaub!$S$24,""))))))&amp;IF(AND(EXACT(LOWER(AW17),AW17),AW17&lt;&gt;0)," 1/2",""))</f>
        <v/>
      </c>
      <c r="N17" s="53">
        <f t="shared" si="2"/>
        <v>0</v>
      </c>
      <c r="P17" s="158"/>
      <c r="Q17" s="159"/>
      <c r="R17" s="159"/>
      <c r="S17" s="159"/>
      <c r="T17" s="159"/>
      <c r="U17" s="159"/>
      <c r="V17" s="160"/>
      <c r="AU17" t="str">
        <f>IF(AV17=1,VLOOKUP($B17,Feiertage!$B$2:$D$49,3,FALSE),"")</f>
        <v/>
      </c>
      <c r="AV17">
        <f>IF(IFERROR(MATCH($B17,Feiertage!$B$2:$B$49,0)&gt;0,0),1,0)</f>
        <v>0</v>
      </c>
      <c r="AW17" s="22">
        <f>IFERROR(HLOOKUP(DAY(B17),Urlaub!$C$4:$AG$16,MONTH(B17)+1,FALSE),0)</f>
        <v>0</v>
      </c>
      <c r="AX17" s="38">
        <f t="shared" ref="AX17:AX35" si="10">IFERROR(IF(OR(AW17=0,AW17="G"),0,IF(EXACT(LOWER(AW17),AW17),0.5*BB17,BB17)),"")</f>
        <v>0</v>
      </c>
      <c r="AY17" s="7">
        <f t="shared" si="4"/>
        <v>2.0833333333333301E-2</v>
      </c>
      <c r="AZ17" s="5">
        <f t="shared" si="5"/>
        <v>0</v>
      </c>
      <c r="BA17" s="39">
        <f t="shared" si="7"/>
        <v>0</v>
      </c>
      <c r="BB17" s="5">
        <f t="shared" si="6"/>
        <v>0.33333333333333331</v>
      </c>
    </row>
    <row r="18" spans="2:54" ht="19.5" thickBot="1" x14ac:dyDescent="0.35">
      <c r="B18" s="43">
        <f t="shared" si="8"/>
        <v>41803</v>
      </c>
      <c r="C18" s="44">
        <f t="shared" si="9"/>
        <v>41803</v>
      </c>
      <c r="D18" s="3"/>
      <c r="E18" s="62"/>
      <c r="F18" s="62"/>
      <c r="G18" s="62"/>
      <c r="H18" s="62"/>
      <c r="I18" s="62" t="str">
        <f t="shared" ca="1" si="0"/>
        <v/>
      </c>
      <c r="J18" s="52">
        <f>IF(AND(Feiertage!$G$2&lt;&gt;"ja",AV18=1),IF(AZ18&gt;0,BB18+AZ18,BB18),IF(AZ18=0,0, IF(I18&lt;&gt;"",AZ18-I18,AZ18)))+AX18</f>
        <v>0</v>
      </c>
      <c r="K18" s="62">
        <f>IF(AV18=0,BB18,IF(Feiertage!$G$2="ja","00:00",BB18))</f>
        <v>0.33333333333333331</v>
      </c>
      <c r="L18" s="52">
        <f t="shared" ca="1" si="1"/>
        <v>-0.33333333333333331</v>
      </c>
      <c r="M18" s="50" t="str">
        <f>IF(AV18=1,AU18,IF(LOWER(AW18)=LOWER(Urlaub!$W$19),Urlaub!$S$19,
IF(LOWER(AW18)=LOWER(Urlaub!$W$20),Urlaub!$S$20,
IF(LOWER(AW18)=LOWER(Urlaub!$W$21),Urlaub!$S$21,
IF(LOWER(AW18)=LOWER(Urlaub!$W$22),Urlaub!$S$22,
IF(LOWER(AW18)=LOWER(Urlaub!$W$23),Urlaub!$S$23,
IF(LOWER(AW18)=LOWER(Urlaub!$W$24),Urlaub!$S$24,""))))))&amp;IF(AND(EXACT(LOWER(AW18),AW18),AW18&lt;&gt;0)," 1/2",""))</f>
        <v/>
      </c>
      <c r="N18" s="53">
        <f t="shared" si="2"/>
        <v>0</v>
      </c>
      <c r="P18" s="161"/>
      <c r="Q18" s="162"/>
      <c r="R18" s="162"/>
      <c r="S18" s="162"/>
      <c r="T18" s="162"/>
      <c r="U18" s="162"/>
      <c r="V18" s="163"/>
      <c r="AU18" t="str">
        <f>IF(AV18=1,VLOOKUP($B18,Feiertage!$B$2:$D$49,3,FALSE),"")</f>
        <v/>
      </c>
      <c r="AV18">
        <f>IF(IFERROR(MATCH($B18,Feiertage!$B$2:$B$49,0)&gt;0,0),1,0)</f>
        <v>0</v>
      </c>
      <c r="AW18" s="22">
        <f>IFERROR(HLOOKUP(DAY(B18),Urlaub!$C$4:$AG$16,MONTH(B18)+1,FALSE),0)</f>
        <v>0</v>
      </c>
      <c r="AX18" s="38">
        <f t="shared" si="10"/>
        <v>0</v>
      </c>
      <c r="AY18" s="7">
        <f t="shared" si="4"/>
        <v>2.0833333333333301E-2</v>
      </c>
      <c r="AZ18" s="5">
        <f t="shared" si="5"/>
        <v>0</v>
      </c>
      <c r="BA18" s="39">
        <f t="shared" si="7"/>
        <v>0</v>
      </c>
      <c r="BB18" s="5">
        <f t="shared" si="6"/>
        <v>0.33333333333333331</v>
      </c>
    </row>
    <row r="19" spans="2:54" ht="18.75" x14ac:dyDescent="0.3">
      <c r="B19" s="43">
        <f t="shared" si="8"/>
        <v>41804</v>
      </c>
      <c r="C19" s="44">
        <f t="shared" si="9"/>
        <v>41804</v>
      </c>
      <c r="D19" s="3"/>
      <c r="E19" s="62"/>
      <c r="F19" s="62"/>
      <c r="G19" s="62"/>
      <c r="H19" s="62"/>
      <c r="I19" s="62" t="str">
        <f t="shared" ca="1" si="0"/>
        <v/>
      </c>
      <c r="J19" s="52">
        <f>IF(AND(Feiertage!$G$2&lt;&gt;"ja",AV19=1),IF(AZ19&gt;0,BB19+AZ19,BB19),IF(AZ19=0,0, IF(I19&lt;&gt;"",AZ19-I19,AZ19)))+AX19</f>
        <v>0</v>
      </c>
      <c r="K19" s="62">
        <f>IF(AV19=0,BB19,IF(Feiertage!$G$2="ja","00:00",BB19))</f>
        <v>0.33333333333333331</v>
      </c>
      <c r="L19" s="52">
        <f ca="1">IF(OR(B19&lt;=TODAY(),J19,AW19="G"),IF(J19&lt;&gt;"",IF(J19-K19=0,"",J19-K19),IF(K19&lt;&gt;"",-K19,"")),"")</f>
        <v>-0.33333333333333331</v>
      </c>
      <c r="M19" s="50" t="str">
        <f>IF(AV19=1,AU19,IF(LOWER(AW19)=LOWER(Urlaub!$W$19),Urlaub!$S$19,
IF(LOWER(AW19)=LOWER(Urlaub!$W$20),Urlaub!$S$20,
IF(LOWER(AW19)=LOWER(Urlaub!$W$21),Urlaub!$S$21,
IF(LOWER(AW19)=LOWER(Urlaub!$W$22),Urlaub!$S$22,
IF(LOWER(AW19)=LOWER(Urlaub!$W$23),Urlaub!$S$23,
IF(LOWER(AW19)=LOWER(Urlaub!$W$24),Urlaub!$S$24,""))))))&amp;IF(AND(EXACT(LOWER(AW19),AW19),AW19&lt;&gt;0)," 1/2",""))</f>
        <v/>
      </c>
      <c r="N19" s="53">
        <f t="shared" si="2"/>
        <v>0</v>
      </c>
      <c r="AU19" t="str">
        <f>IF(AV19=1,VLOOKUP($B19,Feiertage!$B$2:$D$49,3,FALSE),"")</f>
        <v/>
      </c>
      <c r="AV19">
        <f>IF(IFERROR(MATCH($B19,Feiertage!$B$2:$B$49,0)&gt;0,0),1,0)</f>
        <v>0</v>
      </c>
      <c r="AW19" s="22">
        <f>IFERROR(HLOOKUP(DAY(B19),Urlaub!$C$4:$AG$16,MONTH(B19)+1,FALSE),0)</f>
        <v>0</v>
      </c>
      <c r="AX19" s="38">
        <f>IFERROR(IF(OR(AW19=0,AW19="G"),0,IF(EXACT(LOWER(AW19),AW19),0.5*BB19,BB19)),"")</f>
        <v>0</v>
      </c>
      <c r="AY19" s="7">
        <f t="shared" si="4"/>
        <v>2.0833333333333301E-2</v>
      </c>
      <c r="AZ19" s="5">
        <f t="shared" si="5"/>
        <v>0</v>
      </c>
      <c r="BA19" s="39">
        <f t="shared" si="7"/>
        <v>0</v>
      </c>
      <c r="BB19" s="5">
        <f t="shared" si="6"/>
        <v>0.33333333333333331</v>
      </c>
    </row>
    <row r="20" spans="2:54" ht="18.75" x14ac:dyDescent="0.3">
      <c r="B20" s="43">
        <f t="shared" si="8"/>
        <v>41805</v>
      </c>
      <c r="C20" s="44">
        <f t="shared" si="9"/>
        <v>41805</v>
      </c>
      <c r="D20" s="3"/>
      <c r="E20" s="62"/>
      <c r="F20" s="62"/>
      <c r="G20" s="62"/>
      <c r="H20" s="62"/>
      <c r="I20" s="62" t="str">
        <f t="shared" ca="1" si="0"/>
        <v/>
      </c>
      <c r="J20" s="52">
        <f>IF(AND(Feiertage!$G$2&lt;&gt;"ja",AV20=1),IF(AZ20&gt;0,BB20+AZ20,BB20),IF(AZ20=0,0, IF(I20&lt;&gt;"",AZ20-I20,AZ20)))+AX20</f>
        <v>0</v>
      </c>
      <c r="K20" s="62">
        <f>IF(AV20=0,BB20,IF(Feiertage!$G$2="ja","00:00",BB20))</f>
        <v>0</v>
      </c>
      <c r="L20" s="52" t="str">
        <f t="shared" ref="L20:L35" ca="1" si="11">IF(OR(B20&lt;=TODAY(),J20,AW20="G"),IF(J20&lt;&gt;"",IF(J20-K20=0,"",J20-K20),IF(K20&lt;&gt;"",-K20,"")),"")</f>
        <v/>
      </c>
      <c r="M20" s="50" t="str">
        <f>IF(AV20=1,AU20,IF(LOWER(AW20)=LOWER(Urlaub!$W$19),Urlaub!$S$19,
IF(LOWER(AW20)=LOWER(Urlaub!$W$20),Urlaub!$S$20,
IF(LOWER(AW20)=LOWER(Urlaub!$W$21),Urlaub!$S$21,
IF(LOWER(AW20)=LOWER(Urlaub!$W$22),Urlaub!$S$22,
IF(LOWER(AW20)=LOWER(Urlaub!$W$23),Urlaub!$S$23,
IF(LOWER(AW20)=LOWER(Urlaub!$W$24),Urlaub!$S$24,""))))))&amp;IF(AND(EXACT(LOWER(AW20),AW20),AW20&lt;&gt;0)," 1/2",""))</f>
        <v/>
      </c>
      <c r="N20" s="53">
        <f t="shared" si="2"/>
        <v>0</v>
      </c>
      <c r="AU20" t="str">
        <f>IF(AV20=1,VLOOKUP($B20,Feiertage!$B$2:$D$49,3,FALSE),"")</f>
        <v/>
      </c>
      <c r="AV20">
        <f>IF(IFERROR(MATCH($B20,Feiertage!$B$2:$B$49,0)&gt;0,0),1,0)</f>
        <v>0</v>
      </c>
      <c r="AW20" s="22">
        <f>IFERROR(HLOOKUP(DAY(B20),Urlaub!$C$4:$AG$16,MONTH(B20)+1,FALSE),0)</f>
        <v>0</v>
      </c>
      <c r="AX20" s="38">
        <f t="shared" si="10"/>
        <v>0</v>
      </c>
      <c r="AY20" s="7">
        <f t="shared" si="4"/>
        <v>2.0833333333333301E-2</v>
      </c>
      <c r="AZ20" s="5">
        <f t="shared" si="5"/>
        <v>0</v>
      </c>
      <c r="BA20" s="39">
        <f t="shared" si="7"/>
        <v>0</v>
      </c>
      <c r="BB20" s="5">
        <f t="shared" si="6"/>
        <v>0</v>
      </c>
    </row>
    <row r="21" spans="2:54" ht="18.75" x14ac:dyDescent="0.3">
      <c r="B21" s="43">
        <f t="shared" si="8"/>
        <v>41806</v>
      </c>
      <c r="C21" s="44">
        <f t="shared" si="9"/>
        <v>41806</v>
      </c>
      <c r="D21" s="3"/>
      <c r="E21" s="62"/>
      <c r="F21" s="62"/>
      <c r="G21" s="62"/>
      <c r="H21" s="62"/>
      <c r="I21" s="62" t="str">
        <f t="shared" ca="1" si="0"/>
        <v/>
      </c>
      <c r="J21" s="52">
        <f>IF(AND(Feiertage!$G$2&lt;&gt;"ja",AV21=1),IF(AZ21&gt;0,BB21+AZ21,BB21),IF(AZ21=0,0, IF(I21&lt;&gt;"",AZ21-I21,AZ21)))+AX21</f>
        <v>0</v>
      </c>
      <c r="K21" s="62">
        <f>IF(AV21=0,BB21,IF(Feiertage!$G$2="ja","00:00",BB21))</f>
        <v>0</v>
      </c>
      <c r="L21" s="52" t="str">
        <f t="shared" ca="1" si="11"/>
        <v/>
      </c>
      <c r="M21" s="50" t="str">
        <f>IF(AV21=1,AU21,IF(LOWER(AW21)=LOWER(Urlaub!$W$19),Urlaub!$S$19,
IF(LOWER(AW21)=LOWER(Urlaub!$W$20),Urlaub!$S$20,
IF(LOWER(AW21)=LOWER(Urlaub!$W$21),Urlaub!$S$21,
IF(LOWER(AW21)=LOWER(Urlaub!$W$22),Urlaub!$S$22,
IF(LOWER(AW21)=LOWER(Urlaub!$W$23),Urlaub!$S$23,
IF(LOWER(AW21)=LOWER(Urlaub!$W$24),Urlaub!$S$24,""))))))&amp;IF(AND(EXACT(LOWER(AW21),AW21),AW21&lt;&gt;0)," 1/2",""))</f>
        <v/>
      </c>
      <c r="N21" s="53">
        <f t="shared" si="2"/>
        <v>0</v>
      </c>
      <c r="AU21" t="str">
        <f>IF(AV21=1,VLOOKUP($B21,Feiertage!$B$2:$D$49,3,FALSE),"")</f>
        <v/>
      </c>
      <c r="AV21">
        <f>IF(IFERROR(MATCH($B21,Feiertage!$B$2:$B$49,0)&gt;0,0),1,0)</f>
        <v>0</v>
      </c>
      <c r="AW21" s="22">
        <f>IFERROR(HLOOKUP(DAY(B21),Urlaub!$C$4:$AG$16,MONTH(B21)+1,FALSE),0)</f>
        <v>0</v>
      </c>
      <c r="AX21" s="38">
        <f t="shared" si="10"/>
        <v>0</v>
      </c>
      <c r="AY21" s="7">
        <f t="shared" si="4"/>
        <v>2.0833333333333301E-2</v>
      </c>
      <c r="AZ21" s="5">
        <f t="shared" si="5"/>
        <v>0</v>
      </c>
      <c r="BA21" s="39">
        <f t="shared" si="7"/>
        <v>0</v>
      </c>
      <c r="BB21" s="5">
        <f t="shared" si="6"/>
        <v>0</v>
      </c>
    </row>
    <row r="22" spans="2:54" ht="18.75" x14ac:dyDescent="0.3">
      <c r="B22" s="43">
        <f t="shared" si="8"/>
        <v>41807</v>
      </c>
      <c r="C22" s="44">
        <f t="shared" si="9"/>
        <v>41807</v>
      </c>
      <c r="D22" s="3"/>
      <c r="E22" s="62"/>
      <c r="F22" s="62"/>
      <c r="G22" s="62"/>
      <c r="H22" s="62"/>
      <c r="I22" s="62" t="str">
        <f t="shared" ca="1" si="0"/>
        <v/>
      </c>
      <c r="J22" s="52">
        <f>IF(AND(Feiertage!$G$2&lt;&gt;"ja",AV22=1),IF(AZ22&gt;0,BB22+AZ22,BB22),IF(AZ22=0,0, IF(I22&lt;&gt;"",AZ22-I22,AZ22)))+AX22</f>
        <v>0</v>
      </c>
      <c r="K22" s="62">
        <f>IF(AV22=0,BB22,IF(Feiertage!$G$2="ja","00:00",BB22))</f>
        <v>0.33333333333333331</v>
      </c>
      <c r="L22" s="52">
        <f t="shared" ca="1" si="11"/>
        <v>-0.33333333333333331</v>
      </c>
      <c r="M22" s="50" t="str">
        <f>IF(AV22=1,AU22,IF(LOWER(AW22)=LOWER(Urlaub!$W$19),Urlaub!$S$19,
IF(LOWER(AW22)=LOWER(Urlaub!$W$20),Urlaub!$S$20,
IF(LOWER(AW22)=LOWER(Urlaub!$W$21),Urlaub!$S$21,
IF(LOWER(AW22)=LOWER(Urlaub!$W$22),Urlaub!$S$22,
IF(LOWER(AW22)=LOWER(Urlaub!$W$23),Urlaub!$S$23,
IF(LOWER(AW22)=LOWER(Urlaub!$W$24),Urlaub!$S$24,""))))))&amp;IF(AND(EXACT(LOWER(AW22),AW22),AW22&lt;&gt;0)," 1/2",""))</f>
        <v/>
      </c>
      <c r="N22" s="53">
        <f t="shared" si="2"/>
        <v>0</v>
      </c>
      <c r="AU22" t="str">
        <f>IF(AV22=1,VLOOKUP($B22,Feiertage!$B$2:$D$49,3,FALSE),"")</f>
        <v/>
      </c>
      <c r="AV22">
        <f>IF(IFERROR(MATCH($B22,Feiertage!$B$2:$B$49,0)&gt;0,0),1,0)</f>
        <v>0</v>
      </c>
      <c r="AW22" s="22">
        <f>IFERROR(HLOOKUP(DAY(B22),Urlaub!$C$4:$AG$16,MONTH(B22)+1,FALSE),0)</f>
        <v>0</v>
      </c>
      <c r="AX22" s="38">
        <f t="shared" si="10"/>
        <v>0</v>
      </c>
      <c r="AY22" s="7">
        <f t="shared" si="4"/>
        <v>2.0833333333333332E-2</v>
      </c>
      <c r="AZ22" s="5">
        <f t="shared" si="5"/>
        <v>0</v>
      </c>
      <c r="BA22" s="39">
        <f t="shared" si="7"/>
        <v>0</v>
      </c>
      <c r="BB22" s="5">
        <f t="shared" si="6"/>
        <v>0.33333333333333331</v>
      </c>
    </row>
    <row r="23" spans="2:54" ht="18.75" x14ac:dyDescent="0.3">
      <c r="B23" s="43">
        <f t="shared" si="8"/>
        <v>41808</v>
      </c>
      <c r="C23" s="44">
        <f t="shared" si="9"/>
        <v>41808</v>
      </c>
      <c r="D23" s="3"/>
      <c r="E23" s="62"/>
      <c r="F23" s="62"/>
      <c r="G23" s="62"/>
      <c r="H23" s="62"/>
      <c r="I23" s="62" t="str">
        <f t="shared" ca="1" si="0"/>
        <v/>
      </c>
      <c r="J23" s="52">
        <f>IF(AND(Feiertage!$G$2&lt;&gt;"ja",AV23=1),IF(AZ23&gt;0,BB23+AZ23,BB23),IF(AZ23=0,0, IF(I23&lt;&gt;"",AZ23-I23,AZ23)))+AX23</f>
        <v>0</v>
      </c>
      <c r="K23" s="62">
        <f>IF(AV23=0,BB23,IF(Feiertage!$G$2="ja","00:00",BB23))</f>
        <v>0.33333333333333331</v>
      </c>
      <c r="L23" s="52">
        <f t="shared" ca="1" si="11"/>
        <v>-0.33333333333333331</v>
      </c>
      <c r="M23" s="50" t="str">
        <f>IF(AV23=1,AU23,IF(LOWER(AW23)=LOWER(Urlaub!$W$19),Urlaub!$S$19,
IF(LOWER(AW23)=LOWER(Urlaub!$W$20),Urlaub!$S$20,
IF(LOWER(AW23)=LOWER(Urlaub!$W$21),Urlaub!$S$21,
IF(LOWER(AW23)=LOWER(Urlaub!$W$22),Urlaub!$S$22,
IF(LOWER(AW23)=LOWER(Urlaub!$W$23),Urlaub!$S$23,
IF(LOWER(AW23)=LOWER(Urlaub!$W$24),Urlaub!$S$24,""))))))&amp;IF(AND(EXACT(LOWER(AW23),AW23),AW23&lt;&gt;0)," 1/2",""))</f>
        <v/>
      </c>
      <c r="N23" s="53">
        <f t="shared" si="2"/>
        <v>0</v>
      </c>
      <c r="AU23" t="str">
        <f>IF(AV23=1,VLOOKUP($B23,Feiertage!$B$2:$D$49,3,FALSE),"")</f>
        <v/>
      </c>
      <c r="AV23">
        <f>IF(IFERROR(MATCH($B23,Feiertage!$B$2:$B$49,0)&gt;0,0),1,0)</f>
        <v>0</v>
      </c>
      <c r="AW23" s="22">
        <f>IFERROR(HLOOKUP(DAY(B23),Urlaub!$C$4:$AG$16,MONTH(B23)+1,FALSE),0)</f>
        <v>0</v>
      </c>
      <c r="AX23" s="38">
        <f>IFERROR(IF(OR(AW23=0,AW23="G"),0,IF(EXACT(LOWER(AW23),AW23),0.5*BB23,BB23)),"")</f>
        <v>0</v>
      </c>
      <c r="AY23" s="7">
        <f t="shared" si="4"/>
        <v>2.0833333333333332E-2</v>
      </c>
      <c r="AZ23" s="5">
        <f t="shared" si="5"/>
        <v>0</v>
      </c>
      <c r="BA23" s="39">
        <f t="shared" si="7"/>
        <v>0</v>
      </c>
      <c r="BB23" s="5">
        <f t="shared" si="6"/>
        <v>0.33333333333333331</v>
      </c>
    </row>
    <row r="24" spans="2:54" ht="18.75" x14ac:dyDescent="0.3">
      <c r="B24" s="43">
        <f t="shared" si="8"/>
        <v>41809</v>
      </c>
      <c r="C24" s="44">
        <f t="shared" si="9"/>
        <v>41809</v>
      </c>
      <c r="D24" s="3"/>
      <c r="E24" s="62"/>
      <c r="F24" s="62"/>
      <c r="G24" s="62"/>
      <c r="H24" s="62"/>
      <c r="I24" s="62" t="str">
        <f t="shared" ca="1" si="0"/>
        <v/>
      </c>
      <c r="J24" s="52">
        <f>IF(AND(Feiertage!$G$2&lt;&gt;"ja",AV24=1),IF(AZ24&gt;0,BB24+AZ24,BB24),IF(AZ24=0,0, IF(I24&lt;&gt;"",AZ24-I24,AZ24)))+AX24</f>
        <v>0</v>
      </c>
      <c r="K24" s="62">
        <f>IF(AV24=0,BB24,IF(Feiertage!$G$2="ja","00:00",BB24))</f>
        <v>0.33333333333333331</v>
      </c>
      <c r="L24" s="52">
        <f t="shared" ca="1" si="11"/>
        <v>-0.33333333333333331</v>
      </c>
      <c r="M24" s="50" t="str">
        <f>IF(AV24=1,AU24,IF(LOWER(AW24)=LOWER(Urlaub!$W$19),Urlaub!$S$19,
IF(LOWER(AW24)=LOWER(Urlaub!$W$20),Urlaub!$S$20,
IF(LOWER(AW24)=LOWER(Urlaub!$W$21),Urlaub!$S$21,
IF(LOWER(AW24)=LOWER(Urlaub!$W$22),Urlaub!$S$22,
IF(LOWER(AW24)=LOWER(Urlaub!$W$23),Urlaub!$S$23,
IF(LOWER(AW24)=LOWER(Urlaub!$W$24),Urlaub!$S$24,""))))))&amp;IF(AND(EXACT(LOWER(AW24),AW24),AW24&lt;&gt;0)," 1/2",""))</f>
        <v/>
      </c>
      <c r="N24" s="53">
        <f t="shared" si="2"/>
        <v>0</v>
      </c>
      <c r="AU24" t="str">
        <f>IF(AV24=1,VLOOKUP($B24,Feiertage!$B$2:$D$49,3,FALSE),"")</f>
        <v/>
      </c>
      <c r="AV24">
        <f>IF(IFERROR(MATCH($B24,Feiertage!$B$2:$B$49,0)&gt;0,0),1,0)</f>
        <v>0</v>
      </c>
      <c r="AW24" s="22">
        <f>IFERROR(HLOOKUP(DAY(B24),Urlaub!$C$4:$AG$16,MONTH(B24)+1,FALSE),0)</f>
        <v>0</v>
      </c>
      <c r="AX24" s="38">
        <f t="shared" si="10"/>
        <v>0</v>
      </c>
      <c r="AY24" s="7">
        <f t="shared" si="4"/>
        <v>2.0833333333333301E-2</v>
      </c>
      <c r="AZ24" s="5">
        <f t="shared" si="5"/>
        <v>0</v>
      </c>
      <c r="BA24" s="39">
        <f t="shared" si="7"/>
        <v>0</v>
      </c>
      <c r="BB24" s="5">
        <f t="shared" si="6"/>
        <v>0.33333333333333331</v>
      </c>
    </row>
    <row r="25" spans="2:54" ht="18.75" x14ac:dyDescent="0.3">
      <c r="B25" s="43">
        <f t="shared" si="8"/>
        <v>41810</v>
      </c>
      <c r="C25" s="44">
        <f t="shared" si="9"/>
        <v>41810</v>
      </c>
      <c r="D25" s="3"/>
      <c r="E25" s="62"/>
      <c r="F25" s="62"/>
      <c r="G25" s="62"/>
      <c r="H25" s="62"/>
      <c r="I25" s="62" t="str">
        <f t="shared" ca="1" si="0"/>
        <v/>
      </c>
      <c r="J25" s="52">
        <f>IF(AND(Feiertage!$G$2&lt;&gt;"ja",AV25=1),IF(AZ25&gt;0,BB25+AZ25,BB25),IF(AZ25=0,0, IF(I25&lt;&gt;"",AZ25-I25,AZ25)))+AX25</f>
        <v>0</v>
      </c>
      <c r="K25" s="62">
        <f>IF(AV25=0,BB25,IF(Feiertage!$G$2="ja","00:00",BB25))</f>
        <v>0.33333333333333331</v>
      </c>
      <c r="L25" s="52">
        <f t="shared" ca="1" si="11"/>
        <v>-0.33333333333333331</v>
      </c>
      <c r="M25" s="50" t="str">
        <f>IF(AV25=1,AU25,IF(LOWER(AW25)=LOWER(Urlaub!$W$19),Urlaub!$S$19,
IF(LOWER(AW25)=LOWER(Urlaub!$W$20),Urlaub!$S$20,
IF(LOWER(AW25)=LOWER(Urlaub!$W$21),Urlaub!$S$21,
IF(LOWER(AW25)=LOWER(Urlaub!$W$22),Urlaub!$S$22,
IF(LOWER(AW25)=LOWER(Urlaub!$W$23),Urlaub!$S$23,
IF(LOWER(AW25)=LOWER(Urlaub!$W$24),Urlaub!$S$24,""))))))&amp;IF(AND(EXACT(LOWER(AW25),AW25),AW25&lt;&gt;0)," 1/2",""))</f>
        <v/>
      </c>
      <c r="N25" s="53">
        <f t="shared" si="2"/>
        <v>0</v>
      </c>
      <c r="AU25" t="str">
        <f>IF(AV25=1,VLOOKUP($B25,Feiertage!$B$2:$D$49,3,FALSE),"")</f>
        <v/>
      </c>
      <c r="AV25">
        <f>IF(IFERROR(MATCH($B25,Feiertage!$B$2:$B$49,0)&gt;0,0),1,0)</f>
        <v>0</v>
      </c>
      <c r="AW25" s="22">
        <f>IFERROR(HLOOKUP(DAY(B25),Urlaub!$C$4:$AG$16,MONTH(B25)+1,FALSE),0)</f>
        <v>0</v>
      </c>
      <c r="AX25" s="38">
        <f t="shared" si="10"/>
        <v>0</v>
      </c>
      <c r="AY25" s="7">
        <f t="shared" si="4"/>
        <v>2.0833333333333301E-2</v>
      </c>
      <c r="AZ25" s="5">
        <f t="shared" si="5"/>
        <v>0</v>
      </c>
      <c r="BA25" s="39">
        <f t="shared" si="7"/>
        <v>0</v>
      </c>
      <c r="BB25" s="5">
        <f t="shared" si="6"/>
        <v>0.33333333333333331</v>
      </c>
    </row>
    <row r="26" spans="2:54" ht="18.75" x14ac:dyDescent="0.3">
      <c r="B26" s="43">
        <f t="shared" si="8"/>
        <v>41811</v>
      </c>
      <c r="C26" s="44">
        <f t="shared" si="9"/>
        <v>41811</v>
      </c>
      <c r="D26" s="3"/>
      <c r="E26" s="62"/>
      <c r="F26" s="62"/>
      <c r="G26" s="62"/>
      <c r="H26" s="62"/>
      <c r="I26" s="62" t="str">
        <f t="shared" ca="1" si="0"/>
        <v/>
      </c>
      <c r="J26" s="52">
        <f>IF(AND(Feiertage!$G$2&lt;&gt;"ja",AV26=1),IF(AZ26&gt;0,BB26+AZ26,BB26),IF(AZ26=0,0, IF(I26&lt;&gt;"",AZ26-I26,AZ26)))+AX26</f>
        <v>0</v>
      </c>
      <c r="K26" s="62">
        <f>IF(AV26=0,BB26,IF(Feiertage!$G$2="ja","00:00",BB26))</f>
        <v>0.33333333333333331</v>
      </c>
      <c r="L26" s="52">
        <f t="shared" ca="1" si="11"/>
        <v>-0.33333333333333331</v>
      </c>
      <c r="M26" s="50" t="str">
        <f>IF(AV26=1,AU26,IF(LOWER(AW26)=LOWER(Urlaub!$W$19),Urlaub!$S$19,
IF(LOWER(AW26)=LOWER(Urlaub!$W$20),Urlaub!$S$20,
IF(LOWER(AW26)=LOWER(Urlaub!$W$21),Urlaub!$S$21,
IF(LOWER(AW26)=LOWER(Urlaub!$W$22),Urlaub!$S$22,
IF(LOWER(AW26)=LOWER(Urlaub!$W$23),Urlaub!$S$23,
IF(LOWER(AW26)=LOWER(Urlaub!$W$24),Urlaub!$S$24,""))))))&amp;IF(AND(EXACT(LOWER(AW26),AW26),AW26&lt;&gt;0)," 1/2",""))</f>
        <v/>
      </c>
      <c r="N26" s="53">
        <f t="shared" si="2"/>
        <v>0</v>
      </c>
      <c r="AU26" t="str">
        <f>IF(AV26=1,VLOOKUP($B26,Feiertage!$B$2:$D$49,3,FALSE),"")</f>
        <v/>
      </c>
      <c r="AV26">
        <f>IF(IFERROR(MATCH($B26,Feiertage!$B$2:$B$49,0)&gt;0,0),1,0)</f>
        <v>0</v>
      </c>
      <c r="AW26" s="22">
        <f>IFERROR(HLOOKUP(DAY(B26),Urlaub!$C$4:$AG$16,MONTH(B26)+1,FALSE),0)</f>
        <v>0</v>
      </c>
      <c r="AX26" s="38">
        <f t="shared" si="10"/>
        <v>0</v>
      </c>
      <c r="AY26" s="7">
        <f t="shared" si="4"/>
        <v>2.0833333333333301E-2</v>
      </c>
      <c r="AZ26" s="5">
        <f t="shared" si="5"/>
        <v>0</v>
      </c>
      <c r="BA26" s="39">
        <f t="shared" si="7"/>
        <v>0</v>
      </c>
      <c r="BB26" s="5">
        <f t="shared" si="6"/>
        <v>0.33333333333333331</v>
      </c>
    </row>
    <row r="27" spans="2:54" ht="18.75" x14ac:dyDescent="0.3">
      <c r="B27" s="43">
        <f t="shared" si="8"/>
        <v>41812</v>
      </c>
      <c r="C27" s="44">
        <f t="shared" si="9"/>
        <v>41812</v>
      </c>
      <c r="D27" s="3"/>
      <c r="E27" s="62"/>
      <c r="F27" s="62"/>
      <c r="G27" s="62"/>
      <c r="H27" s="62"/>
      <c r="I27" s="62" t="str">
        <f t="shared" ca="1" si="0"/>
        <v/>
      </c>
      <c r="J27" s="52">
        <f>IF(AND(Feiertage!$G$2&lt;&gt;"ja",AV27=1),IF(AZ27&gt;0,BB27+AZ27,BB27),IF(AZ27=0,0, IF(I27&lt;&gt;"",AZ27-I27,AZ27)))+AX27</f>
        <v>0</v>
      </c>
      <c r="K27" s="62">
        <f>IF(AV27=0,BB27,IF(Feiertage!$G$2="ja","00:00",BB27))</f>
        <v>0</v>
      </c>
      <c r="L27" s="52" t="str">
        <f t="shared" ca="1" si="11"/>
        <v/>
      </c>
      <c r="M27" s="50" t="str">
        <f>IF(AV27=1,AU27,IF(LOWER(AW27)=LOWER(Urlaub!$W$19),Urlaub!$S$19,
IF(LOWER(AW27)=LOWER(Urlaub!$W$20),Urlaub!$S$20,
IF(LOWER(AW27)=LOWER(Urlaub!$W$21),Urlaub!$S$21,
IF(LOWER(AW27)=LOWER(Urlaub!$W$22),Urlaub!$S$22,
IF(LOWER(AW27)=LOWER(Urlaub!$W$23),Urlaub!$S$23,
IF(LOWER(AW27)=LOWER(Urlaub!$W$24),Urlaub!$S$24,""))))))&amp;IF(AND(EXACT(LOWER(AW27),AW27),AW27&lt;&gt;0)," 1/2",""))</f>
        <v/>
      </c>
      <c r="N27" s="53">
        <f t="shared" si="2"/>
        <v>0</v>
      </c>
      <c r="AU27" t="str">
        <f>IF(AV27=1,VLOOKUP($B27,Feiertage!$B$2:$D$49,3,FALSE),"")</f>
        <v/>
      </c>
      <c r="AV27">
        <f>IF(IFERROR(MATCH($B27,Feiertage!$B$2:$B$49,0)&gt;0,0),1,0)</f>
        <v>0</v>
      </c>
      <c r="AW27" s="22">
        <f>IFERROR(HLOOKUP(DAY(B27),Urlaub!$C$4:$AG$16,MONTH(B27)+1,FALSE),0)</f>
        <v>0</v>
      </c>
      <c r="AX27" s="38">
        <f t="shared" si="10"/>
        <v>0</v>
      </c>
      <c r="AY27" s="7">
        <f t="shared" si="4"/>
        <v>2.0833333333333301E-2</v>
      </c>
      <c r="AZ27" s="5">
        <f t="shared" si="5"/>
        <v>0</v>
      </c>
      <c r="BA27" s="39">
        <f t="shared" si="7"/>
        <v>0</v>
      </c>
      <c r="BB27" s="5">
        <f t="shared" si="6"/>
        <v>0</v>
      </c>
    </row>
    <row r="28" spans="2:54" ht="18.75" x14ac:dyDescent="0.3">
      <c r="B28" s="43">
        <f t="shared" si="8"/>
        <v>41813</v>
      </c>
      <c r="C28" s="44">
        <f t="shared" si="9"/>
        <v>41813</v>
      </c>
      <c r="D28" s="3"/>
      <c r="E28" s="62"/>
      <c r="F28" s="62"/>
      <c r="G28" s="62"/>
      <c r="H28" s="62"/>
      <c r="I28" s="62" t="str">
        <f t="shared" ca="1" si="0"/>
        <v/>
      </c>
      <c r="J28" s="52">
        <f>IF(AND(Feiertage!$G$2&lt;&gt;"ja",AV28=1),IF(AZ28&gt;0,BB28+AZ28,BB28),IF(AZ28=0,0, IF(I28&lt;&gt;"",AZ28-I28,AZ28)))+AX28</f>
        <v>0</v>
      </c>
      <c r="K28" s="62">
        <f>IF(AV28=0,BB28,IF(Feiertage!$G$2="ja","00:00",BB28))</f>
        <v>0</v>
      </c>
      <c r="L28" s="52" t="str">
        <f t="shared" ca="1" si="11"/>
        <v/>
      </c>
      <c r="M28" s="50" t="str">
        <f>IF(AV28=1,AU28,IF(LOWER(AW28)=LOWER(Urlaub!$W$19),Urlaub!$S$19,
IF(LOWER(AW28)=LOWER(Urlaub!$W$20),Urlaub!$S$20,
IF(LOWER(AW28)=LOWER(Urlaub!$W$21),Urlaub!$S$21,
IF(LOWER(AW28)=LOWER(Urlaub!$W$22),Urlaub!$S$22,
IF(LOWER(AW28)=LOWER(Urlaub!$W$23),Urlaub!$S$23,
IF(LOWER(AW28)=LOWER(Urlaub!$W$24),Urlaub!$S$24,""))))))&amp;IF(AND(EXACT(LOWER(AW28),AW28),AW28&lt;&gt;0)," 1/2",""))</f>
        <v/>
      </c>
      <c r="N28" s="53">
        <f t="shared" si="2"/>
        <v>0</v>
      </c>
      <c r="AU28" t="str">
        <f>IF(AV28=1,VLOOKUP($B28,Feiertage!$B$2:$D$49,3,FALSE),"")</f>
        <v/>
      </c>
      <c r="AV28">
        <f>IF(IFERROR(MATCH($B28,Feiertage!$B$2:$B$49,0)&gt;0,0),1,0)</f>
        <v>0</v>
      </c>
      <c r="AW28" s="22">
        <f>IFERROR(HLOOKUP(DAY(B28),Urlaub!$C$4:$AG$16,MONTH(B28)+1,FALSE),0)</f>
        <v>0</v>
      </c>
      <c r="AX28" s="38">
        <f t="shared" si="10"/>
        <v>0</v>
      </c>
      <c r="AY28" s="7">
        <f t="shared" si="4"/>
        <v>2.0833333333333301E-2</v>
      </c>
      <c r="AZ28" s="5">
        <f t="shared" si="5"/>
        <v>0</v>
      </c>
      <c r="BA28" s="39">
        <f t="shared" si="7"/>
        <v>0</v>
      </c>
      <c r="BB28" s="5">
        <f t="shared" si="6"/>
        <v>0</v>
      </c>
    </row>
    <row r="29" spans="2:54" ht="18.75" x14ac:dyDescent="0.3">
      <c r="B29" s="43">
        <f t="shared" si="8"/>
        <v>41814</v>
      </c>
      <c r="C29" s="44">
        <f t="shared" si="9"/>
        <v>41814</v>
      </c>
      <c r="D29" s="3"/>
      <c r="E29" s="62"/>
      <c r="F29" s="62"/>
      <c r="G29" s="62"/>
      <c r="H29" s="62"/>
      <c r="I29" s="62" t="str">
        <f t="shared" ca="1" si="0"/>
        <v/>
      </c>
      <c r="J29" s="52">
        <f>IF(AND(Feiertage!$G$2&lt;&gt;"ja",AV29=1),IF(AZ29&gt;0,BB29+AZ29,BB29),IF(AZ29=0,0, IF(I29&lt;&gt;"",AZ29-I29,AZ29)))+AX29</f>
        <v>0</v>
      </c>
      <c r="K29" s="62">
        <f>IF(AV29=0,BB29,IF(Feiertage!$G$2="ja","00:00",BB29))</f>
        <v>0.33333333333333331</v>
      </c>
      <c r="L29" s="52">
        <f t="shared" ca="1" si="11"/>
        <v>-0.33333333333333331</v>
      </c>
      <c r="M29" s="50" t="str">
        <f>IF(AV29=1,AU29,IF(LOWER(AW29)=LOWER(Urlaub!$W$19),Urlaub!$S$19,
IF(LOWER(AW29)=LOWER(Urlaub!$W$20),Urlaub!$S$20,
IF(LOWER(AW29)=LOWER(Urlaub!$W$21),Urlaub!$S$21,
IF(LOWER(AW29)=LOWER(Urlaub!$W$22),Urlaub!$S$22,
IF(LOWER(AW29)=LOWER(Urlaub!$W$23),Urlaub!$S$23,
IF(LOWER(AW29)=LOWER(Urlaub!$W$24),Urlaub!$S$24,""))))))&amp;IF(AND(EXACT(LOWER(AW29),AW29),AW29&lt;&gt;0)," 1/2",""))</f>
        <v/>
      </c>
      <c r="N29" s="53">
        <f t="shared" si="2"/>
        <v>0</v>
      </c>
      <c r="AU29" t="str">
        <f>IF(AV29=1,VLOOKUP($B29,Feiertage!$B$2:$D$49,3,FALSE),"")</f>
        <v/>
      </c>
      <c r="AV29">
        <f>IF(IFERROR(MATCH($B29,Feiertage!$B$2:$B$49,0)&gt;0,0),1,0)</f>
        <v>0</v>
      </c>
      <c r="AW29" s="22">
        <f>IFERROR(HLOOKUP(DAY(B29),Urlaub!$C$4:$AG$16,MONTH(B29)+1,FALSE),0)</f>
        <v>0</v>
      </c>
      <c r="AX29" s="38">
        <f t="shared" si="10"/>
        <v>0</v>
      </c>
      <c r="AY29" s="7">
        <f t="shared" si="4"/>
        <v>2.0833333333333332E-2</v>
      </c>
      <c r="AZ29" s="5">
        <f t="shared" si="5"/>
        <v>0</v>
      </c>
      <c r="BA29" s="39">
        <f t="shared" si="7"/>
        <v>0</v>
      </c>
      <c r="BB29" s="5">
        <f t="shared" si="6"/>
        <v>0.33333333333333331</v>
      </c>
    </row>
    <row r="30" spans="2:54" ht="18.75" x14ac:dyDescent="0.3">
      <c r="B30" s="43">
        <f t="shared" si="8"/>
        <v>41815</v>
      </c>
      <c r="C30" s="44">
        <f t="shared" si="9"/>
        <v>41815</v>
      </c>
      <c r="D30" s="3"/>
      <c r="E30" s="62"/>
      <c r="F30" s="62"/>
      <c r="G30" s="62"/>
      <c r="H30" s="62"/>
      <c r="I30" s="62" t="str">
        <f t="shared" ca="1" si="0"/>
        <v/>
      </c>
      <c r="J30" s="52">
        <f>IF(AND(Feiertage!$G$2&lt;&gt;"ja",AV30=1),IF(AZ30&gt;0,BB30+AZ30,BB30),IF(AZ30=0,0, IF(I30&lt;&gt;"",AZ30-I30,AZ30)))+AX30</f>
        <v>0</v>
      </c>
      <c r="K30" s="62">
        <f>IF(AV30=0,BB30,IF(Feiertage!$G$2="ja","00:00",BB30))</f>
        <v>0.33333333333333331</v>
      </c>
      <c r="L30" s="52">
        <f t="shared" ca="1" si="11"/>
        <v>-0.33333333333333331</v>
      </c>
      <c r="M30" s="50" t="str">
        <f>IF(AV30=1,AU30,IF(LOWER(AW30)=LOWER(Urlaub!$W$19),Urlaub!$S$19,
IF(LOWER(AW30)=LOWER(Urlaub!$W$20),Urlaub!$S$20,
IF(LOWER(AW30)=LOWER(Urlaub!$W$21),Urlaub!$S$21,
IF(LOWER(AW30)=LOWER(Urlaub!$W$22),Urlaub!$S$22,
IF(LOWER(AW30)=LOWER(Urlaub!$W$23),Urlaub!$S$23,
IF(LOWER(AW30)=LOWER(Urlaub!$W$24),Urlaub!$S$24,""))))))&amp;IF(AND(EXACT(LOWER(AW30),AW30),AW30&lt;&gt;0)," 1/2",""))</f>
        <v/>
      </c>
      <c r="N30" s="53">
        <f t="shared" si="2"/>
        <v>0</v>
      </c>
      <c r="AU30" t="str">
        <f>IF(AV30=1,VLOOKUP($B30,Feiertage!$B$2:$D$49,3,FALSE),"")</f>
        <v/>
      </c>
      <c r="AV30">
        <f>IF(IFERROR(MATCH($B30,Feiertage!$B$2:$B$49,0)&gt;0,0),1,0)</f>
        <v>0</v>
      </c>
      <c r="AW30" s="22">
        <f>IFERROR(HLOOKUP(DAY(B30),Urlaub!$C$4:$AG$16,MONTH(B30)+1,FALSE),0)</f>
        <v>0</v>
      </c>
      <c r="AX30" s="38">
        <f t="shared" si="10"/>
        <v>0</v>
      </c>
      <c r="AY30" s="7">
        <f t="shared" si="4"/>
        <v>2.0833333333333332E-2</v>
      </c>
      <c r="AZ30" s="5">
        <f t="shared" si="5"/>
        <v>0</v>
      </c>
      <c r="BA30" s="39">
        <f t="shared" si="7"/>
        <v>0</v>
      </c>
      <c r="BB30" s="5">
        <f t="shared" si="6"/>
        <v>0.33333333333333331</v>
      </c>
    </row>
    <row r="31" spans="2:54" ht="18.75" x14ac:dyDescent="0.3">
      <c r="B31" s="43">
        <f t="shared" si="8"/>
        <v>41816</v>
      </c>
      <c r="C31" s="44">
        <f t="shared" si="9"/>
        <v>41816</v>
      </c>
      <c r="D31" s="3"/>
      <c r="E31" s="62"/>
      <c r="F31" s="62"/>
      <c r="G31" s="62"/>
      <c r="H31" s="62"/>
      <c r="I31" s="62" t="str">
        <f t="shared" ca="1" si="0"/>
        <v/>
      </c>
      <c r="J31" s="52">
        <f>IF(AND(Feiertage!$G$2&lt;&gt;"ja",AV31=1),IF(AZ31&gt;0,BB31+AZ31,BB31),IF(AZ31=0,0, IF(I31&lt;&gt;"",AZ31-I31,AZ31)))+AX31</f>
        <v>0</v>
      </c>
      <c r="K31" s="62">
        <f>IF(AV31=0,BB31,IF(Feiertage!$G$2="ja","00:00",BB31))</f>
        <v>0.33333333333333331</v>
      </c>
      <c r="L31" s="52">
        <f t="shared" ca="1" si="11"/>
        <v>-0.33333333333333331</v>
      </c>
      <c r="M31" s="50" t="str">
        <f>IF(AV31=1,AU31,IF(LOWER(AW31)=LOWER(Urlaub!$W$19),Urlaub!$S$19,
IF(LOWER(AW31)=LOWER(Urlaub!$W$20),Urlaub!$S$20,
IF(LOWER(AW31)=LOWER(Urlaub!$W$21),Urlaub!$S$21,
IF(LOWER(AW31)=LOWER(Urlaub!$W$22),Urlaub!$S$22,
IF(LOWER(AW31)=LOWER(Urlaub!$W$23),Urlaub!$S$23,
IF(LOWER(AW31)=LOWER(Urlaub!$W$24),Urlaub!$S$24,""))))))&amp;IF(AND(EXACT(LOWER(AW31),AW31),AW31&lt;&gt;0)," 1/2",""))</f>
        <v/>
      </c>
      <c r="N31" s="53">
        <f t="shared" si="2"/>
        <v>0</v>
      </c>
      <c r="AU31" t="str">
        <f>IF(AV31=1,VLOOKUP($B31,Feiertage!$B$2:$D$49,3,FALSE),"")</f>
        <v/>
      </c>
      <c r="AV31">
        <f>IF(IFERROR(MATCH($B31,Feiertage!$B$2:$B$49,0)&gt;0,0),1,0)</f>
        <v>0</v>
      </c>
      <c r="AW31" s="22">
        <f>IFERROR(HLOOKUP(DAY(B31),Urlaub!$C$4:$AG$16,MONTH(B31)+1,FALSE),0)</f>
        <v>0</v>
      </c>
      <c r="AX31" s="38">
        <f t="shared" si="10"/>
        <v>0</v>
      </c>
      <c r="AY31" s="7">
        <f t="shared" si="4"/>
        <v>2.0833333333333301E-2</v>
      </c>
      <c r="AZ31" s="5">
        <f t="shared" si="5"/>
        <v>0</v>
      </c>
      <c r="BA31" s="39">
        <f t="shared" si="7"/>
        <v>0</v>
      </c>
      <c r="BB31" s="5">
        <f t="shared" si="6"/>
        <v>0.33333333333333331</v>
      </c>
    </row>
    <row r="32" spans="2:54" ht="18.75" x14ac:dyDescent="0.3">
      <c r="B32" s="43">
        <f t="shared" si="8"/>
        <v>41817</v>
      </c>
      <c r="C32" s="44">
        <f t="shared" si="9"/>
        <v>41817</v>
      </c>
      <c r="D32" s="3"/>
      <c r="E32" s="62"/>
      <c r="F32" s="62"/>
      <c r="G32" s="62"/>
      <c r="H32" s="62"/>
      <c r="I32" s="62" t="str">
        <f t="shared" ca="1" si="0"/>
        <v/>
      </c>
      <c r="J32" s="52">
        <f>IF(AND(Feiertage!$G$2&lt;&gt;"ja",AV32=1),IF(AZ32&gt;0,BB32+AZ32,BB32),IF(AZ32=0,0, IF(I32&lt;&gt;"",AZ32-I32,AZ32)))+AX32</f>
        <v>0</v>
      </c>
      <c r="K32" s="62">
        <f>IF(AV32=0,BB32,IF(Feiertage!$G$2="ja","00:00",BB32))</f>
        <v>0.33333333333333331</v>
      </c>
      <c r="L32" s="52">
        <f t="shared" ca="1" si="11"/>
        <v>-0.33333333333333331</v>
      </c>
      <c r="M32" s="50" t="str">
        <f>IF(AV32=1,AU32,IF(LOWER(AW32)=LOWER(Urlaub!$W$19),Urlaub!$S$19,
IF(LOWER(AW32)=LOWER(Urlaub!$W$20),Urlaub!$S$20,
IF(LOWER(AW32)=LOWER(Urlaub!$W$21),Urlaub!$S$21,
IF(LOWER(AW32)=LOWER(Urlaub!$W$22),Urlaub!$S$22,
IF(LOWER(AW32)=LOWER(Urlaub!$W$23),Urlaub!$S$23,
IF(LOWER(AW32)=LOWER(Urlaub!$W$24),Urlaub!$S$24,""))))))&amp;IF(AND(EXACT(LOWER(AW32),AW32),AW32&lt;&gt;0)," 1/2",""))</f>
        <v/>
      </c>
      <c r="N32" s="53">
        <f t="shared" si="2"/>
        <v>0</v>
      </c>
      <c r="AU32" t="str">
        <f>IF(AV32=1,VLOOKUP($B32,Feiertage!$B$2:$D$49,3,FALSE),"")</f>
        <v/>
      </c>
      <c r="AV32">
        <f>IF(IFERROR(MATCH($B32,Feiertage!$B$2:$B$49,0)&gt;0,0),1,0)</f>
        <v>0</v>
      </c>
      <c r="AW32" s="22">
        <f>IFERROR(HLOOKUP(DAY(B32),Urlaub!$C$4:$AG$16,MONTH(B32)+1,FALSE),0)</f>
        <v>0</v>
      </c>
      <c r="AX32" s="38">
        <f t="shared" si="10"/>
        <v>0</v>
      </c>
      <c r="AY32" s="7">
        <f t="shared" si="4"/>
        <v>2.0833333333333301E-2</v>
      </c>
      <c r="AZ32" s="5">
        <f t="shared" si="5"/>
        <v>0</v>
      </c>
      <c r="BA32" s="39">
        <f t="shared" si="7"/>
        <v>0</v>
      </c>
      <c r="BB32" s="5">
        <f t="shared" si="6"/>
        <v>0.33333333333333331</v>
      </c>
    </row>
    <row r="33" spans="2:54" ht="18.75" x14ac:dyDescent="0.3">
      <c r="B33" s="43">
        <f>IF(B32&lt;&gt;"",IF(MONTH($B$1)&lt;MONTH(B32+1),"",B32+1),"")</f>
        <v>41818</v>
      </c>
      <c r="C33" s="44">
        <f t="shared" si="9"/>
        <v>41818</v>
      </c>
      <c r="D33" s="3"/>
      <c r="E33" s="62"/>
      <c r="F33" s="62"/>
      <c r="G33" s="62"/>
      <c r="H33" s="62"/>
      <c r="I33" s="62" t="str">
        <f t="shared" ca="1" si="0"/>
        <v/>
      </c>
      <c r="J33" s="52">
        <f>IF(B33&lt;&gt;"",IF(AND(Feiertage!$G$2&lt;&gt;"ja",AV33=1),IF(AZ33&gt;0,BB33+AZ33,BB33),IF(AZ33=0,0, IF(I33&lt;&gt;"",AZ33-I33,AZ33)))+AX33,"")</f>
        <v>0</v>
      </c>
      <c r="K33" s="62">
        <f>IF(B33&lt;&gt;"",IF(AV33=0,BB33,IF(Feiertage!$G$2="ja","00:00",BB33)),"")</f>
        <v>0.33333333333333331</v>
      </c>
      <c r="L33" s="52">
        <f t="shared" ca="1" si="11"/>
        <v>-0.33333333333333331</v>
      </c>
      <c r="M33" s="50" t="str">
        <f>IF(AV33=1,AU33,IF(LOWER(AW33)=LOWER(Urlaub!$W$19),Urlaub!$S$19,
IF(LOWER(AW33)=LOWER(Urlaub!$W$20),Urlaub!$S$20,
IF(LOWER(AW33)=LOWER(Urlaub!$W$21),Urlaub!$S$21,
IF(LOWER(AW33)=LOWER(Urlaub!$W$22),Urlaub!$S$22,
IF(LOWER(AW33)=LOWER(Urlaub!$W$23),Urlaub!$S$23,
IF(LOWER(AW33)=LOWER(Urlaub!$W$24),Urlaub!$S$24,""))))))&amp;IF(AND(EXACT(LOWER(AW33),AW33),AW33&lt;&gt;0)," 1/2",""))</f>
        <v/>
      </c>
      <c r="N33" s="53">
        <f>IF(J33&lt;&gt;"",24*J33*IF(WEEKDAY(C33)=WEEKDAY($P$6),$S$6,
IF(WEEKDAY(C33)=WEEKDAY($P$7),$S$7,
IF(WEEKDAY(C33)=WEEKDAY($P$8),$S$8,
IF(WEEKDAY(C33)=WEEKDAY($P$9),$S$9,
IF(WEEKDAY(C33)=WEEKDAY($P$10),$S$10,
IF(WEEKDAY(C33)=WEEKDAY($P$11),$S$11,
IF(WEEKDAY(C33)=WEEKDAY($P$12),$S$12,""))))))),"")</f>
        <v>0</v>
      </c>
      <c r="AU33" t="str">
        <f>IF(AV33=1,VLOOKUP($B33,Feiertage!$B$2:$D$49,3,FALSE),"")</f>
        <v/>
      </c>
      <c r="AV33">
        <f>IF(IFERROR(MATCH($B33,Feiertage!$B$2:$B$49,0)&gt;0,0),1,0)</f>
        <v>0</v>
      </c>
      <c r="AW33" s="22">
        <f>IFERROR(HLOOKUP(DAY(B33),Urlaub!$C$4:$AG$16,MONTH(B33)+1,FALSE),0)</f>
        <v>0</v>
      </c>
      <c r="AX33" s="38">
        <f t="shared" si="10"/>
        <v>0</v>
      </c>
      <c r="AY33" s="7">
        <f t="shared" si="4"/>
        <v>2.0833333333333301E-2</v>
      </c>
      <c r="AZ33" s="5">
        <f t="shared" si="5"/>
        <v>0</v>
      </c>
      <c r="BA33" s="39">
        <f t="shared" si="7"/>
        <v>0</v>
      </c>
      <c r="BB33" s="5">
        <f t="shared" si="6"/>
        <v>0.33333333333333331</v>
      </c>
    </row>
    <row r="34" spans="2:54" ht="18.75" x14ac:dyDescent="0.3">
      <c r="B34" s="43">
        <f t="shared" ref="B34:B35" si="12">IF(B33&lt;&gt;"",IF(MONTH($B$1)&lt;MONTH(B33+1),"",B33+1),"")</f>
        <v>41819</v>
      </c>
      <c r="C34" s="44">
        <f t="shared" si="9"/>
        <v>41819</v>
      </c>
      <c r="D34" s="3"/>
      <c r="E34" s="62"/>
      <c r="F34" s="62"/>
      <c r="G34" s="62"/>
      <c r="H34" s="62"/>
      <c r="I34" s="62" t="str">
        <f t="shared" ca="1" si="0"/>
        <v/>
      </c>
      <c r="J34" s="52">
        <f>IF(B34&lt;&gt;"",IF(AND(Feiertage!$G$2&lt;&gt;"ja",AV34=1),IF(AZ34&gt;0,BB34+AZ34,BB34),IF(AZ34=0,0, IF(I34&lt;&gt;"",AZ34-I34,AZ34)))+AX34,"")</f>
        <v>0</v>
      </c>
      <c r="K34" s="62">
        <f>IF(B34&lt;&gt;"",IF(AV34=0,BB34,IF(Feiertage!$G$2="ja","00:00",BB34)),"")</f>
        <v>0</v>
      </c>
      <c r="L34" s="52" t="str">
        <f t="shared" ca="1" si="11"/>
        <v/>
      </c>
      <c r="M34" s="50" t="str">
        <f>IF(AV34=1,AU34,IF(LOWER(AW34)=LOWER(Urlaub!$W$19),Urlaub!$S$19,
IF(LOWER(AW34)=LOWER(Urlaub!$W$20),Urlaub!$S$20,
IF(LOWER(AW34)=LOWER(Urlaub!$W$21),Urlaub!$S$21,
IF(LOWER(AW34)=LOWER(Urlaub!$W$22),Urlaub!$S$22,
IF(LOWER(AW34)=LOWER(Urlaub!$W$23),Urlaub!$S$23,
IF(LOWER(AW34)=LOWER(Urlaub!$W$24),Urlaub!$S$24,""))))))&amp;IF(AND(EXACT(LOWER(AW34),AW34),AW34&lt;&gt;0)," 1/2",""))</f>
        <v/>
      </c>
      <c r="N34" s="53">
        <f>IF(J34&lt;&gt;"",24*J34*IF(WEEKDAY(C34)=WEEKDAY($P$6),$S$6,
IF(WEEKDAY(C34)=WEEKDAY($P$7),$S$7,
IF(WEEKDAY(C34)=WEEKDAY($P$8),$S$8,
IF(WEEKDAY(C34)=WEEKDAY($P$9),$S$9,
IF(WEEKDAY(C34)=WEEKDAY($P$10),$S$10,
IF(WEEKDAY(C34)=WEEKDAY($P$11),$S$11,
IF(WEEKDAY(C34)=WEEKDAY($P$12),$S$12,""))))))),"")</f>
        <v>0</v>
      </c>
      <c r="AU34" t="str">
        <f>IF(AV34=1,VLOOKUP($B34,Feiertage!$B$2:$D$49,3,FALSE),"")</f>
        <v/>
      </c>
      <c r="AV34">
        <f>IF(IFERROR(MATCH($B34,Feiertage!$B$2:$B$49,0)&gt;0,0),1,0)</f>
        <v>0</v>
      </c>
      <c r="AW34" s="22">
        <f>IFERROR(HLOOKUP(DAY(B34),Urlaub!$C$4:$AG$16,MONTH(B34)+1,FALSE),0)</f>
        <v>0</v>
      </c>
      <c r="AX34" s="38">
        <f t="shared" si="10"/>
        <v>0</v>
      </c>
      <c r="AY34" s="7">
        <f t="shared" si="4"/>
        <v>2.0833333333333301E-2</v>
      </c>
      <c r="AZ34" s="5">
        <f t="shared" si="5"/>
        <v>0</v>
      </c>
      <c r="BA34" s="39">
        <f t="shared" si="7"/>
        <v>0</v>
      </c>
      <c r="BB34" s="5">
        <f t="shared" si="6"/>
        <v>0</v>
      </c>
    </row>
    <row r="35" spans="2:54" ht="19.5" thickBot="1" x14ac:dyDescent="0.35">
      <c r="B35" s="70" t="str">
        <f t="shared" si="12"/>
        <v/>
      </c>
      <c r="C35" s="71" t="str">
        <f t="shared" si="9"/>
        <v/>
      </c>
      <c r="D35" s="72"/>
      <c r="E35" s="73"/>
      <c r="F35" s="73"/>
      <c r="G35" s="73"/>
      <c r="H35" s="74"/>
      <c r="I35" s="74" t="str">
        <f t="shared" ca="1" si="0"/>
        <v/>
      </c>
      <c r="J35" s="76" t="str">
        <f>IF(B35&lt;&gt;"",IF(AND(Feiertage!$G$2&lt;&gt;"ja",AV35=1),IF(AZ35&gt;0,BB35+AZ35,BB35),IF(AZ35=0,0, IF(I35&lt;&gt;"",AZ35-I35,AZ35)))+AX35,"")</f>
        <v/>
      </c>
      <c r="K35" s="73" t="str">
        <f>IF(B35&lt;&gt;"",IF(AV35=0,BB35,IF(Feiertage!$G$2="ja","00:00",BB35)),"")</f>
        <v/>
      </c>
      <c r="L35" s="52" t="str">
        <f t="shared" ca="1" si="11"/>
        <v/>
      </c>
      <c r="M35" s="50" t="str">
        <f>IF(AV35=1,AU35,IF(LOWER(AW35)=LOWER(Urlaub!$W$19),Urlaub!$S$19,
IF(LOWER(AW35)=LOWER(Urlaub!$W$20),Urlaub!$S$20,
IF(LOWER(AW35)=LOWER(Urlaub!$W$21),Urlaub!$S$21,
IF(LOWER(AW35)=LOWER(Urlaub!$W$22),Urlaub!$S$22,
IF(LOWER(AW35)=LOWER(Urlaub!$W$23),Urlaub!$S$23,
IF(LOWER(AW35)=LOWER(Urlaub!$W$24),Urlaub!$S$24,""))))))&amp;IF(AND(EXACT(LOWER(AW35),AW35),AW35&lt;&gt;0)," 1/2",""))</f>
        <v/>
      </c>
      <c r="N35" s="77" t="str">
        <f>IF(J35&lt;&gt;"",24*J35*IF(WEEKDAY(C35)=WEEKDAY($P$6),$S$6,
IF(WEEKDAY(C35)=WEEKDAY($P$7),$S$7,
IF(WEEKDAY(C35)=WEEKDAY($P$8),$S$8,
IF(WEEKDAY(C35)=WEEKDAY($P$9),$S$9,
IF(WEEKDAY(C35)=WEEKDAY($P$10),$S$10,
IF(WEEKDAY(C35)=WEEKDAY($P$11),$S$11,
IF(WEEKDAY(C35)=WEEKDAY($P$12),$S$12,""))))))),"")</f>
        <v/>
      </c>
      <c r="AU35" t="str">
        <f>IF(AV35=1,VLOOKUP($B35,Feiertage!$B$2:$D$49,3,FALSE),"")</f>
        <v/>
      </c>
      <c r="AV35">
        <f>IF(IFERROR(MATCH($B35,Feiertage!$B$2:$B$49,0)&gt;0,0),1,0)</f>
        <v>0</v>
      </c>
      <c r="AW35" s="22">
        <f>IFERROR(HLOOKUP(DAY(B35),Urlaub!$C$4:$AG$16,MONTH(B35)+1,FALSE),0)</f>
        <v>0</v>
      </c>
      <c r="AX35" s="38">
        <f t="shared" si="10"/>
        <v>0</v>
      </c>
      <c r="AY35" s="7" t="str">
        <f t="shared" si="4"/>
        <v/>
      </c>
      <c r="AZ35" s="5">
        <f t="shared" si="5"/>
        <v>0</v>
      </c>
      <c r="BA35" s="39">
        <f t="shared" si="7"/>
        <v>0</v>
      </c>
      <c r="BB35" s="5" t="str">
        <f t="shared" si="6"/>
        <v/>
      </c>
    </row>
    <row r="36" spans="2:54" ht="5.25" customHeight="1" thickTop="1" thickBot="1" x14ac:dyDescent="0.3">
      <c r="B36" s="1"/>
      <c r="H36" s="75"/>
      <c r="I36" s="75"/>
      <c r="J36" s="75"/>
      <c r="K36" s="2"/>
      <c r="L36" s="75"/>
    </row>
    <row r="37" spans="2:54" ht="24" thickBot="1" x14ac:dyDescent="0.4">
      <c r="B37" s="139" t="s">
        <v>74</v>
      </c>
      <c r="C37" s="140"/>
      <c r="D37" s="140"/>
      <c r="E37" s="140"/>
      <c r="F37" s="140"/>
      <c r="G37" s="140"/>
      <c r="H37" s="140"/>
      <c r="I37" s="141"/>
      <c r="J37" s="47">
        <f>SUM(J5:J35)</f>
        <v>0</v>
      </c>
      <c r="K37" s="47">
        <f t="shared" ref="K37" si="13">SUM(K5:K35)</f>
        <v>6.9999999999999973</v>
      </c>
      <c r="L37" s="47">
        <f ca="1">SUM(L5:L35)</f>
        <v>-6.9999999999999973</v>
      </c>
      <c r="M37" s="47">
        <f>SUM(AX5:AX35)</f>
        <v>0</v>
      </c>
      <c r="N37" s="48">
        <f t="shared" ref="N37" si="14">SUM(N5:N35)</f>
        <v>0</v>
      </c>
    </row>
    <row r="38" spans="2:54" x14ac:dyDescent="0.25">
      <c r="B38" s="1"/>
    </row>
    <row r="39" spans="2:54" x14ac:dyDescent="0.25">
      <c r="B39" s="1"/>
    </row>
  </sheetData>
  <sheetProtection algorithmName="SHA-512" hashValue="dkHQgS+jvwhBTfpLGmqJk2uBDleWah4iN8zViSdPRwb9dtVUIEw79rID8E19tdC9Lis1IfbchEtn0j2p0tN8Bw==" saltValue="G9pC4kTh18hnR4u5OAb/Eg==" spinCount="100000" sheet="1" selectLockedCells="1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7">
    <mergeCell ref="B37:I37"/>
    <mergeCell ref="E3:H3"/>
    <mergeCell ref="B1:N1"/>
    <mergeCell ref="U4:V4"/>
    <mergeCell ref="P4:S4"/>
    <mergeCell ref="P15:V15"/>
    <mergeCell ref="P16:V18"/>
  </mergeCells>
  <conditionalFormatting sqref="B5:N35">
    <cfRule type="expression" dxfId="29" priority="2" stopIfTrue="1">
      <formula>WEEKDAY($B5,2)&gt;5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A5A0669-5489-4C67-B5F6-F643D0AD0A39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B5:N35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B39"/>
  <sheetViews>
    <sheetView showGridLines="0" workbookViewId="0">
      <pane xSplit="4" ySplit="4" topLeftCell="E5" activePane="bottomRight" state="frozen"/>
      <selection activeCell="B1" sqref="B1:N1"/>
      <selection pane="topRight" activeCell="B1" sqref="B1:N1"/>
      <selection pane="bottomLeft" activeCell="B1" sqref="B1:N1"/>
      <selection pane="bottomRight" activeCell="E5" sqref="E5"/>
    </sheetView>
  </sheetViews>
  <sheetFormatPr baseColWidth="10" defaultRowHeight="15" x14ac:dyDescent="0.25"/>
  <cols>
    <col min="1" max="1" width="2.28515625" customWidth="1"/>
    <col min="2" max="2" width="8.85546875" customWidth="1"/>
    <col min="3" max="3" width="7.28515625" customWidth="1"/>
    <col min="4" max="4" width="1" customWidth="1"/>
    <col min="5" max="8" width="7.7109375" customWidth="1"/>
    <col min="9" max="9" width="8" customWidth="1"/>
    <col min="10" max="10" width="12.42578125" customWidth="1"/>
    <col min="11" max="11" width="12.140625" customWidth="1"/>
    <col min="12" max="12" width="12.85546875" customWidth="1"/>
    <col min="13" max="13" width="16.5703125" bestFit="1" customWidth="1"/>
    <col min="14" max="14" width="17.85546875" customWidth="1"/>
    <col min="15" max="15" width="4.28515625" customWidth="1"/>
    <col min="16" max="16" width="18.7109375" customWidth="1"/>
    <col min="17" max="17" width="12.28515625" customWidth="1"/>
    <col min="18" max="18" width="11.140625" customWidth="1"/>
    <col min="19" max="19" width="15.7109375" customWidth="1"/>
    <col min="20" max="20" width="4.140625" customWidth="1"/>
    <col min="21" max="21" width="29.140625" customWidth="1"/>
    <col min="22" max="22" width="16" customWidth="1"/>
    <col min="47" max="55" width="13.7109375" customWidth="1"/>
  </cols>
  <sheetData>
    <row r="1" spans="1:54" ht="24.75" customHeight="1" thickBot="1" x14ac:dyDescent="0.5">
      <c r="A1" s="117">
        <v>41639</v>
      </c>
      <c r="B1" s="142">
        <f>EDATE(Januar!$A$1,6)</f>
        <v>41820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54" s="21" customFormat="1" ht="24.75" customHeight="1" thickBot="1" x14ac:dyDescent="0.5">
      <c r="B2" s="59"/>
      <c r="C2" s="59"/>
      <c r="D2" s="59"/>
      <c r="E2" s="60"/>
      <c r="F2" s="60"/>
      <c r="G2" s="60"/>
      <c r="H2" s="60"/>
      <c r="I2" s="59"/>
      <c r="J2" s="59"/>
      <c r="K2" s="59"/>
      <c r="L2" s="59"/>
      <c r="M2" s="59"/>
      <c r="N2" s="59"/>
    </row>
    <row r="3" spans="1:54" ht="19.5" thickBot="1" x14ac:dyDescent="0.35">
      <c r="B3" s="58"/>
      <c r="C3" s="58"/>
      <c r="D3" s="58"/>
      <c r="E3" s="145" t="s">
        <v>0</v>
      </c>
      <c r="F3" s="146"/>
      <c r="G3" s="146"/>
      <c r="H3" s="147"/>
      <c r="I3" s="58"/>
      <c r="J3" s="58"/>
      <c r="K3" s="58"/>
      <c r="L3" s="58"/>
      <c r="M3" s="58"/>
      <c r="N3" s="58"/>
      <c r="O3" s="2"/>
    </row>
    <row r="4" spans="1:54" ht="19.5" thickBot="1" x14ac:dyDescent="0.35">
      <c r="B4" s="41" t="s">
        <v>4</v>
      </c>
      <c r="C4" s="41" t="s">
        <v>5</v>
      </c>
      <c r="D4" s="42"/>
      <c r="E4" s="41" t="s">
        <v>1</v>
      </c>
      <c r="F4" s="41" t="s">
        <v>2</v>
      </c>
      <c r="G4" s="41" t="s">
        <v>1</v>
      </c>
      <c r="H4" s="41" t="s">
        <v>2</v>
      </c>
      <c r="I4" s="41" t="s">
        <v>3</v>
      </c>
      <c r="J4" s="41" t="s">
        <v>7</v>
      </c>
      <c r="K4" s="41" t="s">
        <v>6</v>
      </c>
      <c r="L4" s="41" t="s">
        <v>11</v>
      </c>
      <c r="M4" s="41" t="s">
        <v>56</v>
      </c>
      <c r="N4" s="41" t="s">
        <v>71</v>
      </c>
      <c r="O4" s="20"/>
      <c r="P4" s="150" t="s">
        <v>10</v>
      </c>
      <c r="Q4" s="151"/>
      <c r="R4" s="151"/>
      <c r="S4" s="152"/>
      <c r="U4" s="148" t="s">
        <v>81</v>
      </c>
      <c r="V4" s="149"/>
      <c r="AU4" s="36" t="s">
        <v>46</v>
      </c>
      <c r="AV4" s="36" t="s">
        <v>46</v>
      </c>
      <c r="AW4" s="37" t="s">
        <v>66</v>
      </c>
      <c r="AX4" s="36" t="s">
        <v>67</v>
      </c>
      <c r="AY4" s="6" t="s">
        <v>3</v>
      </c>
      <c r="AZ4" s="36" t="s">
        <v>7</v>
      </c>
      <c r="BA4" s="36" t="s">
        <v>72</v>
      </c>
      <c r="BB4" s="6" t="s">
        <v>6</v>
      </c>
    </row>
    <row r="5" spans="1:54" ht="21.75" thickBot="1" x14ac:dyDescent="0.4">
      <c r="B5" s="45">
        <f>B1</f>
        <v>41820</v>
      </c>
      <c r="C5" s="46">
        <f>B5</f>
        <v>41820</v>
      </c>
      <c r="D5" s="3"/>
      <c r="E5" s="61"/>
      <c r="F5" s="61"/>
      <c r="G5" s="61"/>
      <c r="H5" s="61"/>
      <c r="I5" s="61" t="str">
        <f t="shared" ref="I5:I35" ca="1" si="0">IF(AZ5=0,"",IF(AY5=0,"",IF(OR(B5&lt;=TODAY(),AZ5),AY5,"")))</f>
        <v/>
      </c>
      <c r="J5" s="49">
        <f>IF(AND(Feiertage!$G$2&lt;&gt;"ja",AV5=1),IF(AZ5&gt;0,BB5+AZ5,BB5),IF(AZ5=0,0, IF(I5&lt;&gt;"",AZ5-I5,AZ5)))+AX5</f>
        <v>0</v>
      </c>
      <c r="K5" s="61">
        <f>IF(AV5=0,BB5,IF(Feiertage!$G$2="ja","00:00",BB5))</f>
        <v>0</v>
      </c>
      <c r="L5" s="52" t="str">
        <f t="shared" ref="L5:L18" ca="1" si="1">IF(OR(B5&lt;=TODAY(),J5,AW5="G"),IF(J5&lt;&gt;"",IF(J5-K5=0,"",J5-K5),IF(K5&lt;&gt;"",-K5,"")),"")</f>
        <v/>
      </c>
      <c r="M5" s="50" t="str">
        <f>IF(AV5=1,AU5,IF(LOWER(AW5)=LOWER(Urlaub!$W$19),Urlaub!$S$19,
IF(LOWER(AW5)=LOWER(Urlaub!$W$20),Urlaub!$S$20,
IF(LOWER(AW5)=LOWER(Urlaub!$W$21),Urlaub!$S$21,
IF(LOWER(AW5)=LOWER(Urlaub!$W$22),Urlaub!$S$22,
IF(LOWER(AW5)=LOWER(Urlaub!$W$23),Urlaub!$S$23,
IF(LOWER(AW5)=LOWER(Urlaub!$W$24),Urlaub!$S$24,""))))))&amp;IF(AND(EXACT(LOWER(AW5),AW5),AW5&lt;&gt;0)," 1/2",""))</f>
        <v/>
      </c>
      <c r="N5" s="51">
        <f t="shared" ref="N5:N32" si="2">24*J5*IF(WEEKDAY(C5)=WEEKDAY($P$6),$S$6,
IF(WEEKDAY(C5)=WEEKDAY($P$7),$S$7,
IF(WEEKDAY(C5)=WEEKDAY($P$8),$S$8,
IF(WEEKDAY(C5)=WEEKDAY($P$9),$S$9,
IF(WEEKDAY(C5)=WEEKDAY($P$10),$S$10,
IF(WEEKDAY(C5)=WEEKDAY($P$11),$S$11,
IF(WEEKDAY(C5)=WEEKDAY($P$12),$S$12,"")))))))</f>
        <v>0</v>
      </c>
      <c r="P5" s="41" t="s">
        <v>8</v>
      </c>
      <c r="Q5" s="41" t="s">
        <v>6</v>
      </c>
      <c r="R5" s="41" t="s">
        <v>3</v>
      </c>
      <c r="S5" s="41" t="s">
        <v>70</v>
      </c>
      <c r="U5" s="112" t="str">
        <f xml:space="preserve"> "Übertrag aus " &amp; IF( MONTH(B1)=1, YEAR(B1)-1, TEXT(EDATE(B1,-1),"MMMM"))</f>
        <v>Übertrag aus Juni</v>
      </c>
      <c r="V5" s="130">
        <f ca="1">IF(MONTH(B1)&gt;1,INDIRECT(TEXT(EDATE(B1,-1),"MMMM")&amp;"!v10"),"")</f>
        <v>-41.333333333333321</v>
      </c>
      <c r="AU5" t="str">
        <f>IF(AV5=1,VLOOKUP($B5,Feiertage!$B$2:$D$49,3,FALSE),"")</f>
        <v/>
      </c>
      <c r="AV5">
        <f>IF(IFERROR(MATCH($B5,Feiertage!$B$2:$B$49,0)&gt;0,0),1,0)</f>
        <v>0</v>
      </c>
      <c r="AW5" s="22">
        <f>IFERROR(HLOOKUP(DAY(B5),Urlaub!$C$4:$AG$16,MONTH(B5)+1,FALSE),0)</f>
        <v>0</v>
      </c>
      <c r="AX5" s="38">
        <f t="shared" ref="AX5:AX16" si="3">IFERROR(IF(AW5=0,0,IF(EXACT(LOWER(AW5),AW5),0.5*BB5,BB5)),"")</f>
        <v>0</v>
      </c>
      <c r="AY5" s="7">
        <f t="shared" ref="AY5:AY35" si="4">IFERROR(IF(WEEKDAY(C5)=WEEKDAY($P$6),$R$6,
IF(WEEKDAY(C5)=WEEKDAY($P$7),$R$7,
IF(WEEKDAY(C5)=WEEKDAY($P$8),$R$8,
IF(WEEKDAY(C5)=WEEKDAY($P$9),$R$9,
IF(WEEKDAY(C5)=WEEKDAY($P$10),$R$10,
IF(WEEKDAY(C5)=WEEKDAY($P$11),$R$11,
IF(WEEKDAY(C5)=WEEKDAY($P$12),$R$12,""))))))),"")</f>
        <v>2.0833333333333301E-2</v>
      </c>
      <c r="AZ5" s="5">
        <f t="shared" ref="AZ5:AZ35" si="5">IF(F5,IF(E5,IF(E5&gt;F5,F5+"24:00"-E5,F5-E5),0),0)+IF(G5,IF(G5,IF(G5&gt;H5,H5+"24:00"-G5,H5-G5),0),0)</f>
        <v>0</v>
      </c>
      <c r="BA5" s="39">
        <f>AZ5*24</f>
        <v>0</v>
      </c>
      <c r="BB5" s="5">
        <f t="shared" ref="BB5:BB35" si="6">IFERROR(IF(WEEKDAY(C5)=WEEKDAY($P$6),$Q$6,
IF(WEEKDAY(C5)=WEEKDAY($P$7),$Q$7,
IF(WEEKDAY(C5)=WEEKDAY($P$8),$Q$8,
IF(WEEKDAY(C5)=WEEKDAY($P$9),$Q$9,
IF(WEEKDAY(C5)=WEEKDAY($P$10),$Q$10,
IF(WEEKDAY(C5)=WEEKDAY($P$11),$Q$11,
IF(WEEKDAY(C5)=WEEKDAY($P$12),$Q$12,""))))))),"")</f>
        <v>0</v>
      </c>
    </row>
    <row r="6" spans="1:54" ht="21" x14ac:dyDescent="0.35">
      <c r="B6" s="43">
        <f>B5+1</f>
        <v>41821</v>
      </c>
      <c r="C6" s="44">
        <f>B6</f>
        <v>41821</v>
      </c>
      <c r="D6" s="3"/>
      <c r="E6" s="62"/>
      <c r="F6" s="62"/>
      <c r="G6" s="62"/>
      <c r="H6" s="62"/>
      <c r="I6" s="62" t="str">
        <f t="shared" ca="1" si="0"/>
        <v/>
      </c>
      <c r="J6" s="52">
        <f>IF(AND(Feiertage!$G$2&lt;&gt;"ja",AV6=1),IF(AZ6&gt;0,BB6+AZ6,BB6),IF(AZ6=0,0, IF(I6&lt;&gt;"",AZ6-I6,AZ6)))+AX6</f>
        <v>0</v>
      </c>
      <c r="K6" s="62">
        <f>IF(AV6=0,BB6,IF(Feiertage!$G$2="ja","00:00",BB6))</f>
        <v>0.33333333333333331</v>
      </c>
      <c r="L6" s="52">
        <f t="shared" ca="1" si="1"/>
        <v>-0.33333333333333331</v>
      </c>
      <c r="M6" s="50" t="str">
        <f>IF(AV6=1,AU6,IF(LOWER(AW6)=LOWER(Urlaub!$W$19),Urlaub!$S$19,
IF(LOWER(AW6)=LOWER(Urlaub!$W$20),Urlaub!$S$20,
IF(LOWER(AW6)=LOWER(Urlaub!$W$21),Urlaub!$S$21,
IF(LOWER(AW6)=LOWER(Urlaub!$W$22),Urlaub!$S$22,
IF(LOWER(AW6)=LOWER(Urlaub!$W$23),Urlaub!$S$23,
IF(LOWER(AW6)=LOWER(Urlaub!$W$24),Urlaub!$S$24,""))))))&amp;IF(AND(EXACT(LOWER(AW6),AW6),AW6&lt;&gt;0)," 1/2",""))</f>
        <v/>
      </c>
      <c r="N6" s="53">
        <f t="shared" si="2"/>
        <v>0</v>
      </c>
      <c r="P6" s="54">
        <v>41639</v>
      </c>
      <c r="Q6" s="63">
        <v>0.33333333333333331</v>
      </c>
      <c r="R6" s="63">
        <v>2.0833333333333332E-2</v>
      </c>
      <c r="S6" s="64"/>
      <c r="U6" s="114" t="s">
        <v>6</v>
      </c>
      <c r="V6" s="113">
        <f>SUM(K5:K35)</f>
        <v>7.3333333333333304</v>
      </c>
      <c r="AU6" t="str">
        <f>IF(AV6=1,VLOOKUP($B6,Feiertage!$B$2:$D$49,3,FALSE),"")</f>
        <v/>
      </c>
      <c r="AV6">
        <f>IF(IFERROR(MATCH($B6,Feiertage!$B$2:$B$49,0)&gt;0,0),1,0)</f>
        <v>0</v>
      </c>
      <c r="AW6" s="22">
        <f>IFERROR(HLOOKUP(DAY(B6),Urlaub!$C$4:$AG$16,MONTH(B6)+1,FALSE),0)</f>
        <v>0</v>
      </c>
      <c r="AX6" s="38">
        <f t="shared" si="3"/>
        <v>0</v>
      </c>
      <c r="AY6" s="7">
        <f t="shared" si="4"/>
        <v>2.0833333333333332E-2</v>
      </c>
      <c r="AZ6" s="5">
        <f t="shared" si="5"/>
        <v>0</v>
      </c>
      <c r="BA6" s="39">
        <f t="shared" ref="BA6:BA35" si="7">AZ6*24</f>
        <v>0</v>
      </c>
      <c r="BB6" s="5">
        <f t="shared" si="6"/>
        <v>0.33333333333333331</v>
      </c>
    </row>
    <row r="7" spans="1:54" ht="21" x14ac:dyDescent="0.35">
      <c r="B7" s="43">
        <f t="shared" ref="B7:B32" si="8">B6+1</f>
        <v>41822</v>
      </c>
      <c r="C7" s="44">
        <f t="shared" ref="C7:C35" si="9">B7</f>
        <v>41822</v>
      </c>
      <c r="D7" s="3"/>
      <c r="E7" s="62"/>
      <c r="F7" s="62"/>
      <c r="G7" s="62"/>
      <c r="H7" s="62"/>
      <c r="I7" s="62" t="str">
        <f t="shared" ca="1" si="0"/>
        <v/>
      </c>
      <c r="J7" s="52">
        <f>IF(AND(Feiertage!$G$2&lt;&gt;"ja",AV7=1),IF(AZ7&gt;0,BB7+AZ7,BB7),IF(AZ7=0,0, IF(I7&lt;&gt;"",AZ7-I7,AZ7)))+AX7</f>
        <v>0</v>
      </c>
      <c r="K7" s="62">
        <f>IF(AV7=0,BB7,IF(Feiertage!$G$2="ja","00:00",BB7))</f>
        <v>0.33333333333333331</v>
      </c>
      <c r="L7" s="52">
        <f t="shared" ca="1" si="1"/>
        <v>-0.33333333333333331</v>
      </c>
      <c r="M7" s="50" t="str">
        <f>IF(AV7=1,AU7,IF(LOWER(AW7)=LOWER(Urlaub!$W$19),Urlaub!$S$19,
IF(LOWER(AW7)=LOWER(Urlaub!$W$20),Urlaub!$S$20,
IF(LOWER(AW7)=LOWER(Urlaub!$W$21),Urlaub!$S$21,
IF(LOWER(AW7)=LOWER(Urlaub!$W$22),Urlaub!$S$22,
IF(LOWER(AW7)=LOWER(Urlaub!$W$23),Urlaub!$S$23,
IF(LOWER(AW7)=LOWER(Urlaub!$W$24),Urlaub!$S$24,""))))))&amp;IF(AND(EXACT(LOWER(AW7),AW7),AW7&lt;&gt;0)," 1/2",""))</f>
        <v/>
      </c>
      <c r="N7" s="53">
        <f t="shared" si="2"/>
        <v>0</v>
      </c>
      <c r="P7" s="55">
        <v>41640</v>
      </c>
      <c r="Q7" s="65">
        <v>0.33333333333333331</v>
      </c>
      <c r="R7" s="63">
        <v>2.0833333333333332E-2</v>
      </c>
      <c r="S7" s="66"/>
      <c r="U7" s="114" t="s">
        <v>7</v>
      </c>
      <c r="V7" s="113">
        <f>SUM(J5:J35)</f>
        <v>0</v>
      </c>
      <c r="AU7" t="str">
        <f>IF(AV7=1,VLOOKUP($B7,Feiertage!$B$2:$D$49,3,FALSE),"")</f>
        <v/>
      </c>
      <c r="AV7">
        <f>IF(IFERROR(MATCH($B7,Feiertage!$B$2:$B$49,0)&gt;0,0),1,0)</f>
        <v>0</v>
      </c>
      <c r="AW7" s="22">
        <f>IFERROR(HLOOKUP(DAY(B7),Urlaub!$C$4:$AG$16,MONTH(B7)+1,FALSE),0)</f>
        <v>0</v>
      </c>
      <c r="AX7" s="38">
        <f t="shared" si="3"/>
        <v>0</v>
      </c>
      <c r="AY7" s="7">
        <f t="shared" si="4"/>
        <v>2.0833333333333332E-2</v>
      </c>
      <c r="AZ7" s="5">
        <f t="shared" si="5"/>
        <v>0</v>
      </c>
      <c r="BA7" s="39">
        <f t="shared" si="7"/>
        <v>0</v>
      </c>
      <c r="BB7" s="5">
        <f t="shared" si="6"/>
        <v>0.33333333333333331</v>
      </c>
    </row>
    <row r="8" spans="1:54" ht="21" x14ac:dyDescent="0.35">
      <c r="B8" s="43">
        <f t="shared" si="8"/>
        <v>41823</v>
      </c>
      <c r="C8" s="44">
        <f t="shared" si="9"/>
        <v>41823</v>
      </c>
      <c r="D8" s="3"/>
      <c r="E8" s="62"/>
      <c r="F8" s="62"/>
      <c r="G8" s="62"/>
      <c r="H8" s="62"/>
      <c r="I8" s="62" t="str">
        <f t="shared" ca="1" si="0"/>
        <v/>
      </c>
      <c r="J8" s="52">
        <f>IF(AND(Feiertage!$G$2&lt;&gt;"ja",AV8=1),IF(AZ8&gt;0,BB8+AZ8,BB8),IF(AZ8=0,0, IF(I8&lt;&gt;"",AZ8-I8,AZ8)))+AX8</f>
        <v>0</v>
      </c>
      <c r="K8" s="62">
        <f>IF(AV8=0,BB8,IF(Feiertage!$G$2="ja","00:00",BB8))</f>
        <v>0.33333333333333331</v>
      </c>
      <c r="L8" s="52">
        <f t="shared" ca="1" si="1"/>
        <v>-0.33333333333333331</v>
      </c>
      <c r="M8" s="50" t="str">
        <f>IF(AV8=1,AU8,IF(LOWER(AW8)=LOWER(Urlaub!$W$19),Urlaub!$S$19,
IF(LOWER(AW8)=LOWER(Urlaub!$W$20),Urlaub!$S$20,
IF(LOWER(AW8)=LOWER(Urlaub!$W$21),Urlaub!$S$21,
IF(LOWER(AW8)=LOWER(Urlaub!$W$22),Urlaub!$S$22,
IF(LOWER(AW8)=LOWER(Urlaub!$W$23),Urlaub!$S$23,
IF(LOWER(AW8)=LOWER(Urlaub!$W$24),Urlaub!$S$24,""))))))&amp;IF(AND(EXACT(LOWER(AW8),AW8),AW8&lt;&gt;0)," 1/2",""))</f>
        <v/>
      </c>
      <c r="N8" s="53">
        <f t="shared" si="2"/>
        <v>0</v>
      </c>
      <c r="P8" s="55">
        <v>41641</v>
      </c>
      <c r="Q8" s="65">
        <v>0.33333333333333331</v>
      </c>
      <c r="R8" s="63">
        <v>2.0833333333333301E-2</v>
      </c>
      <c r="S8" s="66"/>
      <c r="U8" s="115" t="str">
        <f xml:space="preserve"> "Saldo " &amp; TEXT(B1,"MMMM")</f>
        <v>Saldo Juli</v>
      </c>
      <c r="V8" s="132">
        <f ca="1">SUM(L5:L35)</f>
        <v>-7.3333333333333304</v>
      </c>
      <c r="AU8" t="str">
        <f>IF(AV8=1,VLOOKUP($B8,Feiertage!$B$2:$D$49,3,FALSE),"")</f>
        <v/>
      </c>
      <c r="AV8">
        <f>IF(IFERROR(MATCH($B8,Feiertage!$B$2:$B$49,0)&gt;0,0),1,0)</f>
        <v>0</v>
      </c>
      <c r="AW8" s="22">
        <f>IFERROR(HLOOKUP(DAY(B8),Urlaub!$C$4:$AG$16,MONTH(B8)+1,FALSE),0)</f>
        <v>0</v>
      </c>
      <c r="AX8" s="38">
        <f t="shared" si="3"/>
        <v>0</v>
      </c>
      <c r="AY8" s="7">
        <f t="shared" si="4"/>
        <v>2.0833333333333301E-2</v>
      </c>
      <c r="AZ8" s="5">
        <f t="shared" si="5"/>
        <v>0</v>
      </c>
      <c r="BA8" s="39">
        <f t="shared" si="7"/>
        <v>0</v>
      </c>
      <c r="BB8" s="5">
        <f t="shared" si="6"/>
        <v>0.33333333333333331</v>
      </c>
    </row>
    <row r="9" spans="1:54" ht="18.75" x14ac:dyDescent="0.3">
      <c r="B9" s="43">
        <f t="shared" si="8"/>
        <v>41824</v>
      </c>
      <c r="C9" s="44">
        <f t="shared" si="9"/>
        <v>41824</v>
      </c>
      <c r="D9" s="3"/>
      <c r="E9" s="62"/>
      <c r="F9" s="62"/>
      <c r="G9" s="62"/>
      <c r="H9" s="62"/>
      <c r="I9" s="62" t="str">
        <f t="shared" ca="1" si="0"/>
        <v/>
      </c>
      <c r="J9" s="52">
        <f>IF(AND(Feiertage!$G$2&lt;&gt;"ja",AV9=1),IF(AZ9&gt;0,BB9+AZ9,BB9),IF(AZ9=0,0, IF(I9&lt;&gt;"",AZ9-I9,AZ9)))+AX9</f>
        <v>0</v>
      </c>
      <c r="K9" s="62">
        <f>IF(AV9=0,BB9,IF(Feiertage!$G$2="ja","00:00",BB9))</f>
        <v>0.33333333333333331</v>
      </c>
      <c r="L9" s="52">
        <f t="shared" ca="1" si="1"/>
        <v>-0.33333333333333331</v>
      </c>
      <c r="M9" s="50" t="str">
        <f>IF(AV9=1,AU9,IF(LOWER(AW9)=LOWER(Urlaub!$W$19),Urlaub!$S$19,
IF(LOWER(AW9)=LOWER(Urlaub!$W$20),Urlaub!$S$20,
IF(LOWER(AW9)=LOWER(Urlaub!$W$21),Urlaub!$S$21,
IF(LOWER(AW9)=LOWER(Urlaub!$W$22),Urlaub!$S$22,
IF(LOWER(AW9)=LOWER(Urlaub!$W$23),Urlaub!$S$23,
IF(LOWER(AW9)=LOWER(Urlaub!$W$24),Urlaub!$S$24,""))))))&amp;IF(AND(EXACT(LOWER(AW9),AW9),AW9&lt;&gt;0)," 1/2",""))</f>
        <v/>
      </c>
      <c r="N9" s="53">
        <f t="shared" si="2"/>
        <v>0</v>
      </c>
      <c r="P9" s="55">
        <v>41642</v>
      </c>
      <c r="Q9" s="65">
        <v>0.33333333333333331</v>
      </c>
      <c r="R9" s="63">
        <v>2.0833333333333301E-2</v>
      </c>
      <c r="S9" s="66"/>
      <c r="U9" s="131" t="s">
        <v>85</v>
      </c>
      <c r="V9" s="134"/>
      <c r="AU9" t="str">
        <f>IF(AV9=1,VLOOKUP($B9,Feiertage!$B$2:$D$49,3,FALSE),"")</f>
        <v/>
      </c>
      <c r="AV9">
        <f>IF(IFERROR(MATCH($B9,Feiertage!$B$2:$B$49,0)&gt;0,0),1,0)</f>
        <v>0</v>
      </c>
      <c r="AW9" s="22">
        <f>IFERROR(HLOOKUP(DAY(B9),Urlaub!$C$4:$AG$16,MONTH(B9)+1,FALSE),0)</f>
        <v>0</v>
      </c>
      <c r="AX9" s="38">
        <f t="shared" si="3"/>
        <v>0</v>
      </c>
      <c r="AY9" s="7">
        <f t="shared" si="4"/>
        <v>2.0833333333333301E-2</v>
      </c>
      <c r="AZ9" s="5">
        <f t="shared" si="5"/>
        <v>0</v>
      </c>
      <c r="BA9" s="39">
        <f t="shared" si="7"/>
        <v>0</v>
      </c>
      <c r="BB9" s="5">
        <f t="shared" si="6"/>
        <v>0.33333333333333331</v>
      </c>
    </row>
    <row r="10" spans="1:54" ht="21.75" thickBot="1" x14ac:dyDescent="0.4">
      <c r="B10" s="43">
        <f t="shared" si="8"/>
        <v>41825</v>
      </c>
      <c r="C10" s="44">
        <f t="shared" si="9"/>
        <v>41825</v>
      </c>
      <c r="D10" s="3"/>
      <c r="E10" s="62"/>
      <c r="F10" s="62"/>
      <c r="G10" s="62"/>
      <c r="H10" s="62"/>
      <c r="I10" s="62" t="str">
        <f t="shared" ca="1" si="0"/>
        <v/>
      </c>
      <c r="J10" s="52">
        <f>IF(AND(Feiertage!$G$2&lt;&gt;"ja",AV10=1),IF(AZ10&gt;0,BB10+AZ10,BB10),IF(AZ10=0,0, IF(I10&lt;&gt;"",AZ10-I10,AZ10)))+AX10</f>
        <v>0</v>
      </c>
      <c r="K10" s="62">
        <f>IF(AV10=0,BB10,IF(Feiertage!$G$2="ja","00:00",BB10))</f>
        <v>0.33333333333333331</v>
      </c>
      <c r="L10" s="52">
        <f t="shared" ca="1" si="1"/>
        <v>-0.33333333333333331</v>
      </c>
      <c r="M10" s="50" t="str">
        <f>IF(AV10=1,AU10,IF(LOWER(AW10)=LOWER(Urlaub!$W$19),Urlaub!$S$19,
IF(LOWER(AW10)=LOWER(Urlaub!$W$20),Urlaub!$S$20,
IF(LOWER(AW10)=LOWER(Urlaub!$W$21),Urlaub!$S$21,
IF(LOWER(AW10)=LOWER(Urlaub!$W$22),Urlaub!$S$22,
IF(LOWER(AW10)=LOWER(Urlaub!$W$23),Urlaub!$S$23,
IF(LOWER(AW10)=LOWER(Urlaub!$W$24),Urlaub!$S$24,""))))))&amp;IF(AND(EXACT(LOWER(AW10),AW10),AW10&lt;&gt;0)," 1/2",""))</f>
        <v/>
      </c>
      <c r="N10" s="53">
        <f t="shared" si="2"/>
        <v>0</v>
      </c>
      <c r="P10" s="55">
        <v>41643</v>
      </c>
      <c r="Q10" s="65">
        <v>0.33333333333333331</v>
      </c>
      <c r="R10" s="63">
        <v>2.0833333333333301E-2</v>
      </c>
      <c r="S10" s="66"/>
      <c r="U10" s="116" t="str">
        <f xml:space="preserve"> "Übertrag in " &amp;  IF( MONTH(B1)=12, YEAR(B1)+1, TEXT(EDATE(B1,1),"MMMM"))</f>
        <v>Übertrag in August</v>
      </c>
      <c r="V10" s="133">
        <f ca="1">IF(V5="",0,V5)+V8+V9</f>
        <v>-48.66666666666665</v>
      </c>
      <c r="AU10" t="str">
        <f>IF(AV10=1,VLOOKUP($B10,Feiertage!$B$2:$D$49,3,FALSE),"")</f>
        <v/>
      </c>
      <c r="AV10">
        <f>IF(IFERROR(MATCH($B10,Feiertage!$B$2:$B$49,0)&gt;0,0),1,0)</f>
        <v>0</v>
      </c>
      <c r="AW10" s="22">
        <f>IFERROR(HLOOKUP(DAY(B10),Urlaub!$C$4:$AG$16,MONTH(B10)+1,FALSE),0)</f>
        <v>0</v>
      </c>
      <c r="AX10" s="38">
        <f t="shared" si="3"/>
        <v>0</v>
      </c>
      <c r="AY10" s="7">
        <f t="shared" si="4"/>
        <v>2.0833333333333301E-2</v>
      </c>
      <c r="AZ10" s="5">
        <f t="shared" si="5"/>
        <v>0</v>
      </c>
      <c r="BA10" s="39">
        <f t="shared" si="7"/>
        <v>0</v>
      </c>
      <c r="BB10" s="5">
        <f t="shared" si="6"/>
        <v>0.33333333333333331</v>
      </c>
    </row>
    <row r="11" spans="1:54" ht="18.75" x14ac:dyDescent="0.3">
      <c r="B11" s="43">
        <f t="shared" si="8"/>
        <v>41826</v>
      </c>
      <c r="C11" s="44">
        <f t="shared" si="9"/>
        <v>41826</v>
      </c>
      <c r="D11" s="3"/>
      <c r="E11" s="62"/>
      <c r="F11" s="62"/>
      <c r="G11" s="62"/>
      <c r="H11" s="62"/>
      <c r="I11" s="62" t="str">
        <f t="shared" ca="1" si="0"/>
        <v/>
      </c>
      <c r="J11" s="52">
        <f>IF(AND(Feiertage!$G$2&lt;&gt;"ja",AV11=1),IF(AZ11&gt;0,BB11+AZ11,BB11),IF(AZ11=0,0, IF(I11&lt;&gt;"",AZ11-I11,AZ11)))+AX11</f>
        <v>0</v>
      </c>
      <c r="K11" s="62">
        <f>IF(AV11=0,BB11,IF(Feiertage!$G$2="ja","00:00",BB11))</f>
        <v>0</v>
      </c>
      <c r="L11" s="52" t="str">
        <f t="shared" ca="1" si="1"/>
        <v/>
      </c>
      <c r="M11" s="50" t="str">
        <f>IF(AV11=1,AU11,IF(LOWER(AW11)=LOWER(Urlaub!$W$19),Urlaub!$S$19,
IF(LOWER(AW11)=LOWER(Urlaub!$W$20),Urlaub!$S$20,
IF(LOWER(AW11)=LOWER(Urlaub!$W$21),Urlaub!$S$21,
IF(LOWER(AW11)=LOWER(Urlaub!$W$22),Urlaub!$S$22,
IF(LOWER(AW11)=LOWER(Urlaub!$W$23),Urlaub!$S$23,
IF(LOWER(AW11)=LOWER(Urlaub!$W$24),Urlaub!$S$24,""))))))&amp;IF(AND(EXACT(LOWER(AW11),AW11),AW11&lt;&gt;0)," 1/2",""))</f>
        <v/>
      </c>
      <c r="N11" s="53">
        <f t="shared" si="2"/>
        <v>0</v>
      </c>
      <c r="O11" s="21"/>
      <c r="P11" s="79">
        <v>41644</v>
      </c>
      <c r="Q11" s="67">
        <v>0</v>
      </c>
      <c r="R11" s="63">
        <v>2.0833333333333301E-2</v>
      </c>
      <c r="S11" s="66"/>
      <c r="AU11" t="str">
        <f>IF(AV11=1,VLOOKUP($B11,Feiertage!$B$2:$D$49,3,FALSE),"")</f>
        <v/>
      </c>
      <c r="AV11">
        <f>IF(IFERROR(MATCH($B11,Feiertage!$B$2:$B$49,0)&gt;0,0),1,0)</f>
        <v>0</v>
      </c>
      <c r="AW11" s="22">
        <f>IFERROR(HLOOKUP(DAY(B11),Urlaub!$C$4:$AG$16,MONTH(B11)+1,FALSE),0)</f>
        <v>0</v>
      </c>
      <c r="AX11" s="38">
        <f t="shared" si="3"/>
        <v>0</v>
      </c>
      <c r="AY11" s="7">
        <f t="shared" si="4"/>
        <v>2.0833333333333301E-2</v>
      </c>
      <c r="AZ11" s="5">
        <f>IF(F11,IF(E11,IF(E11&gt;F11,F11+"24:00"-E11,F11-E11),0),0)+IF(G11,IF(G11,IF(G11&gt;H11,H11+"24:00"-G11,H11-G11),0),0)</f>
        <v>0</v>
      </c>
      <c r="BA11" s="39">
        <f t="shared" si="7"/>
        <v>0</v>
      </c>
      <c r="BB11" s="5">
        <f t="shared" si="6"/>
        <v>0</v>
      </c>
    </row>
    <row r="12" spans="1:54" ht="19.5" thickBot="1" x14ac:dyDescent="0.35">
      <c r="B12" s="43">
        <f t="shared" si="8"/>
        <v>41827</v>
      </c>
      <c r="C12" s="44">
        <f t="shared" si="9"/>
        <v>41827</v>
      </c>
      <c r="D12" s="3"/>
      <c r="E12" s="62"/>
      <c r="F12" s="62"/>
      <c r="G12" s="62"/>
      <c r="H12" s="62"/>
      <c r="I12" s="62" t="str">
        <f t="shared" ca="1" si="0"/>
        <v/>
      </c>
      <c r="J12" s="52">
        <f>IF(AND(Feiertage!$G$2&lt;&gt;"ja",AV12=1),IF(AZ12&gt;0,BB12+AZ12,BB12),IF(AZ12=0,0, IF(I12&lt;&gt;"",AZ12-I12,AZ12)))+AX12</f>
        <v>0</v>
      </c>
      <c r="K12" s="62">
        <f>IF(AV12=0,BB12,IF(Feiertage!$G$2="ja","00:00",BB12))</f>
        <v>0</v>
      </c>
      <c r="L12" s="52" t="str">
        <f t="shared" ca="1" si="1"/>
        <v/>
      </c>
      <c r="M12" s="50" t="str">
        <f>IF(AV12=1,AU12,IF(LOWER(AW12)=LOWER(Urlaub!$W$19),Urlaub!$S$19,
IF(LOWER(AW12)=LOWER(Urlaub!$W$20),Urlaub!$S$20,
IF(LOWER(AW12)=LOWER(Urlaub!$W$21),Urlaub!$S$21,
IF(LOWER(AW12)=LOWER(Urlaub!$W$22),Urlaub!$S$22,
IF(LOWER(AW12)=LOWER(Urlaub!$W$23),Urlaub!$S$23,
IF(LOWER(AW12)=LOWER(Urlaub!$W$24),Urlaub!$S$24,""))))))&amp;IF(AND(EXACT(LOWER(AW12),AW12),AW12&lt;&gt;0)," 1/2",""))</f>
        <v/>
      </c>
      <c r="N12" s="53">
        <f t="shared" si="2"/>
        <v>0</v>
      </c>
      <c r="P12" s="80">
        <v>41645</v>
      </c>
      <c r="Q12" s="68">
        <v>0</v>
      </c>
      <c r="R12" s="110">
        <v>2.0833333333333301E-2</v>
      </c>
      <c r="S12" s="69"/>
      <c r="AU12" t="str">
        <f>IF(AV12=1,VLOOKUP($B12,Feiertage!$B$2:$D$49,3,FALSE),"")</f>
        <v/>
      </c>
      <c r="AV12">
        <f>IF(IFERROR(MATCH($B12,Feiertage!$B$2:$B$49,0)&gt;0,0),1,0)</f>
        <v>0</v>
      </c>
      <c r="AW12" s="22">
        <f>IFERROR(HLOOKUP(DAY(B12),Urlaub!$C$4:$AG$16,MONTH(B12)+1,FALSE),0)</f>
        <v>0</v>
      </c>
      <c r="AX12" s="38">
        <f t="shared" si="3"/>
        <v>0</v>
      </c>
      <c r="AY12" s="7">
        <f t="shared" si="4"/>
        <v>2.0833333333333301E-2</v>
      </c>
      <c r="AZ12" s="5">
        <f>IF(F12,IF(E12,IF(E12&gt;F12,F12+"24:00"-E12,F12-E12),0),0)+IF(G12,IF(G12,IF(G12&gt;H12,H12+"24:00"-G12,H12-G12),0),0)</f>
        <v>0</v>
      </c>
      <c r="BA12" s="39">
        <f t="shared" si="7"/>
        <v>0</v>
      </c>
      <c r="BB12" s="5">
        <f t="shared" si="6"/>
        <v>0</v>
      </c>
    </row>
    <row r="13" spans="1:54" ht="19.5" thickBot="1" x14ac:dyDescent="0.35">
      <c r="B13" s="43">
        <f t="shared" si="8"/>
        <v>41828</v>
      </c>
      <c r="C13" s="44">
        <f t="shared" si="9"/>
        <v>41828</v>
      </c>
      <c r="D13" s="3"/>
      <c r="E13" s="62"/>
      <c r="F13" s="62"/>
      <c r="G13" s="62"/>
      <c r="H13" s="62"/>
      <c r="I13" s="62" t="str">
        <f t="shared" ca="1" si="0"/>
        <v/>
      </c>
      <c r="J13" s="52">
        <f>IF(AND(Feiertage!$G$2&lt;&gt;"ja",AV13=1),IF(AZ13&gt;0,BB13+AZ13,BB13),IF(AZ13=0,0, IF(I13&lt;&gt;"",AZ13-I13,AZ13)))+AX13</f>
        <v>0</v>
      </c>
      <c r="K13" s="62">
        <f>IF(AV13=0,BB13,IF(Feiertage!$G$2="ja","00:00",BB13))</f>
        <v>0.33333333333333331</v>
      </c>
      <c r="L13" s="52">
        <f t="shared" ca="1" si="1"/>
        <v>-0.33333333333333331</v>
      </c>
      <c r="M13" s="50" t="str">
        <f>IF(AV13=1,AU13,IF(LOWER(AW13)=LOWER(Urlaub!$W$19),Urlaub!$S$19,
IF(LOWER(AW13)=LOWER(Urlaub!$W$20),Urlaub!$S$20,
IF(LOWER(AW13)=LOWER(Urlaub!$W$21),Urlaub!$S$21,
IF(LOWER(AW13)=LOWER(Urlaub!$W$22),Urlaub!$S$22,
IF(LOWER(AW13)=LOWER(Urlaub!$W$23),Urlaub!$S$23,
IF(LOWER(AW13)=LOWER(Urlaub!$W$24),Urlaub!$S$24,""))))))&amp;IF(AND(EXACT(LOWER(AW13),AW13),AW13&lt;&gt;0)," 1/2",""))</f>
        <v/>
      </c>
      <c r="N13" s="53">
        <f t="shared" si="2"/>
        <v>0</v>
      </c>
      <c r="P13" s="56" t="s">
        <v>9</v>
      </c>
      <c r="Q13" s="57">
        <f>SUM(Q6:Q12)</f>
        <v>1.6666666666666665</v>
      </c>
      <c r="R13" s="4"/>
      <c r="Y13" s="7"/>
      <c r="AU13" t="str">
        <f>IF(AV13=1,VLOOKUP($B13,Feiertage!$B$2:$D$49,3,FALSE),"")</f>
        <v/>
      </c>
      <c r="AV13">
        <f>IF(IFERROR(MATCH($B13,Feiertage!$B$2:$B$49,0)&gt;0,0),1,0)</f>
        <v>0</v>
      </c>
      <c r="AW13" s="22">
        <f>IFERROR(HLOOKUP(DAY(B13),Urlaub!$C$4:$AG$16,MONTH(B13)+1,FALSE),0)</f>
        <v>0</v>
      </c>
      <c r="AX13" s="38">
        <f t="shared" si="3"/>
        <v>0</v>
      </c>
      <c r="AY13" s="7">
        <f t="shared" si="4"/>
        <v>2.0833333333333332E-2</v>
      </c>
      <c r="AZ13" s="5">
        <f t="shared" si="5"/>
        <v>0</v>
      </c>
      <c r="BA13" s="39">
        <f t="shared" si="7"/>
        <v>0</v>
      </c>
      <c r="BB13" s="5">
        <f t="shared" si="6"/>
        <v>0.33333333333333331</v>
      </c>
    </row>
    <row r="14" spans="1:54" ht="18.75" x14ac:dyDescent="0.3">
      <c r="B14" s="43">
        <f t="shared" si="8"/>
        <v>41829</v>
      </c>
      <c r="C14" s="44">
        <f t="shared" si="9"/>
        <v>41829</v>
      </c>
      <c r="D14" s="3"/>
      <c r="E14" s="62"/>
      <c r="F14" s="62"/>
      <c r="G14" s="62"/>
      <c r="H14" s="62"/>
      <c r="I14" s="62" t="str">
        <f t="shared" ca="1" si="0"/>
        <v/>
      </c>
      <c r="J14" s="52">
        <f>IF(AND(Feiertage!$G$2&lt;&gt;"ja",AV14=1),IF(AZ14&gt;0,BB14+AZ14,BB14),IF(AZ14=0,0, IF(I14&lt;&gt;"",AZ14-I14,AZ14)))+AX14</f>
        <v>0</v>
      </c>
      <c r="K14" s="62">
        <f>IF(AV14=0,BB14,IF(Feiertage!$G$2="ja","00:00",BB14))</f>
        <v>0.33333333333333331</v>
      </c>
      <c r="L14" s="52">
        <f t="shared" ca="1" si="1"/>
        <v>-0.33333333333333331</v>
      </c>
      <c r="M14" s="50" t="str">
        <f>IF(AV14=1,AU14,IF(LOWER(AW14)=LOWER(Urlaub!$W$19),Urlaub!$S$19,
IF(LOWER(AW14)=LOWER(Urlaub!$W$20),Urlaub!$S$20,
IF(LOWER(AW14)=LOWER(Urlaub!$W$21),Urlaub!$S$21,
IF(LOWER(AW14)=LOWER(Urlaub!$W$22),Urlaub!$S$22,
IF(LOWER(AW14)=LOWER(Urlaub!$W$23),Urlaub!$S$23,
IF(LOWER(AW14)=LOWER(Urlaub!$W$24),Urlaub!$S$24,""))))))&amp;IF(AND(EXACT(LOWER(AW14),AW14),AW14&lt;&gt;0)," 1/2",""))</f>
        <v/>
      </c>
      <c r="N14" s="53">
        <f t="shared" si="2"/>
        <v>0</v>
      </c>
      <c r="O14" s="6"/>
      <c r="AU14" t="str">
        <f>IF(AV14=1,VLOOKUP($B14,Feiertage!$B$2:$D$49,3,FALSE),"")</f>
        <v/>
      </c>
      <c r="AV14">
        <f>IF(IFERROR(MATCH($B14,Feiertage!$B$2:$B$49,0)&gt;0,0),1,0)</f>
        <v>0</v>
      </c>
      <c r="AW14" s="22">
        <f>IFERROR(HLOOKUP(DAY(B14),Urlaub!$C$4:$AG$16,MONTH(B14)+1,FALSE),0)</f>
        <v>0</v>
      </c>
      <c r="AX14" s="38">
        <f t="shared" si="3"/>
        <v>0</v>
      </c>
      <c r="AY14" s="7">
        <f t="shared" si="4"/>
        <v>2.0833333333333332E-2</v>
      </c>
      <c r="AZ14" s="5">
        <f t="shared" si="5"/>
        <v>0</v>
      </c>
      <c r="BA14" s="39">
        <f t="shared" si="7"/>
        <v>0</v>
      </c>
      <c r="BB14" s="5">
        <f t="shared" si="6"/>
        <v>0.33333333333333331</v>
      </c>
    </row>
    <row r="15" spans="1:54" ht="19.5" thickBot="1" x14ac:dyDescent="0.35">
      <c r="B15" s="43">
        <f t="shared" si="8"/>
        <v>41830</v>
      </c>
      <c r="C15" s="44">
        <f t="shared" si="9"/>
        <v>41830</v>
      </c>
      <c r="D15" s="3"/>
      <c r="E15" s="62"/>
      <c r="F15" s="62"/>
      <c r="G15" s="62"/>
      <c r="H15" s="62"/>
      <c r="I15" s="62" t="str">
        <f t="shared" ca="1" si="0"/>
        <v/>
      </c>
      <c r="J15" s="52">
        <f>IF(AND(Feiertage!$G$2&lt;&gt;"ja",AV15=1),IF(AZ15&gt;0,BB15+AZ15,BB15),IF(AZ15=0,0, IF(I15&lt;&gt;"",AZ15-I15,AZ15)))+AX15</f>
        <v>0</v>
      </c>
      <c r="K15" s="62">
        <f>IF(AV15=0,BB15,IF(Feiertage!$G$2="ja","00:00",BB15))</f>
        <v>0.33333333333333331</v>
      </c>
      <c r="L15" s="52">
        <f t="shared" ca="1" si="1"/>
        <v>-0.33333333333333331</v>
      </c>
      <c r="M15" s="50" t="str">
        <f>IF(AV15=1,AU15,IF(LOWER(AW15)=LOWER(Urlaub!$W$19),Urlaub!$S$19,
IF(LOWER(AW15)=LOWER(Urlaub!$W$20),Urlaub!$S$20,
IF(LOWER(AW15)=LOWER(Urlaub!$W$21),Urlaub!$S$21,
IF(LOWER(AW15)=LOWER(Urlaub!$W$22),Urlaub!$S$22,
IF(LOWER(AW15)=LOWER(Urlaub!$W$23),Urlaub!$S$23,
IF(LOWER(AW15)=LOWER(Urlaub!$W$24),Urlaub!$S$24,""))))))&amp;IF(AND(EXACT(LOWER(AW15),AW15),AW15&lt;&gt;0)," 1/2",""))</f>
        <v/>
      </c>
      <c r="N15" s="53">
        <f t="shared" si="2"/>
        <v>0</v>
      </c>
      <c r="P15" s="153" t="s">
        <v>86</v>
      </c>
      <c r="Q15" s="154"/>
      <c r="R15" s="154"/>
      <c r="S15" s="154"/>
      <c r="T15" s="154"/>
      <c r="U15" s="154"/>
      <c r="V15" s="154"/>
      <c r="AU15" t="str">
        <f>IF(AV15=1,VLOOKUP($B15,Feiertage!$B$2:$D$49,3,FALSE),"")</f>
        <v/>
      </c>
      <c r="AV15">
        <f>IF(IFERROR(MATCH($B15,Feiertage!$B$2:$B$49,0)&gt;0,0),1,0)</f>
        <v>0</v>
      </c>
      <c r="AW15" s="22">
        <f>IFERROR(HLOOKUP(DAY(B15),Urlaub!$C$4:$AG$16,MONTH(B15)+1,FALSE),0)</f>
        <v>0</v>
      </c>
      <c r="AX15" s="38">
        <f t="shared" si="3"/>
        <v>0</v>
      </c>
      <c r="AY15" s="7">
        <f t="shared" si="4"/>
        <v>2.0833333333333301E-2</v>
      </c>
      <c r="AZ15" s="5">
        <f t="shared" si="5"/>
        <v>0</v>
      </c>
      <c r="BA15" s="39">
        <f t="shared" si="7"/>
        <v>0</v>
      </c>
      <c r="BB15" s="5">
        <f t="shared" si="6"/>
        <v>0.33333333333333331</v>
      </c>
    </row>
    <row r="16" spans="1:54" ht="18.75" x14ac:dyDescent="0.3">
      <c r="B16" s="43">
        <f t="shared" si="8"/>
        <v>41831</v>
      </c>
      <c r="C16" s="44">
        <f t="shared" si="9"/>
        <v>41831</v>
      </c>
      <c r="D16" s="3"/>
      <c r="E16" s="62"/>
      <c r="F16" s="62"/>
      <c r="G16" s="62"/>
      <c r="H16" s="62"/>
      <c r="I16" s="62" t="str">
        <f t="shared" ca="1" si="0"/>
        <v/>
      </c>
      <c r="J16" s="52">
        <f>IF(AND(Feiertage!$G$2&lt;&gt;"ja",AV16=1),IF(AZ16&gt;0,BB16+AZ16,BB16),IF(AZ16=0,0, IF(I16&lt;&gt;"",AZ16-I16,AZ16)))+AX16</f>
        <v>0</v>
      </c>
      <c r="K16" s="62">
        <f>IF(AV16=0,BB16,IF(Feiertage!$G$2="ja","00:00",BB16))</f>
        <v>0.33333333333333331</v>
      </c>
      <c r="L16" s="52">
        <f t="shared" ca="1" si="1"/>
        <v>-0.33333333333333331</v>
      </c>
      <c r="M16" s="50" t="str">
        <f>IF(AV16=1,AU16,IF(LOWER(AW16)=LOWER(Urlaub!$W$19),Urlaub!$S$19,
IF(LOWER(AW16)=LOWER(Urlaub!$W$20),Urlaub!$S$20,
IF(LOWER(AW16)=LOWER(Urlaub!$W$21),Urlaub!$S$21,
IF(LOWER(AW16)=LOWER(Urlaub!$W$22),Urlaub!$S$22,
IF(LOWER(AW16)=LOWER(Urlaub!$W$23),Urlaub!$S$23,
IF(LOWER(AW16)=LOWER(Urlaub!$W$24),Urlaub!$S$24,""))))))&amp;IF(AND(EXACT(LOWER(AW16),AW16),AW16&lt;&gt;0)," 1/2",""))</f>
        <v/>
      </c>
      <c r="N16" s="53">
        <f t="shared" si="2"/>
        <v>0</v>
      </c>
      <c r="P16" s="155"/>
      <c r="Q16" s="156"/>
      <c r="R16" s="156"/>
      <c r="S16" s="156"/>
      <c r="T16" s="156"/>
      <c r="U16" s="156"/>
      <c r="V16" s="157"/>
      <c r="AU16" t="str">
        <f>IF(AV16=1,VLOOKUP($B16,Feiertage!$B$2:$D$49,3,FALSE),"")</f>
        <v/>
      </c>
      <c r="AV16">
        <f>IF(IFERROR(MATCH($B16,Feiertage!$B$2:$B$49,0)&gt;0,0),1,0)</f>
        <v>0</v>
      </c>
      <c r="AW16" s="22">
        <f>IFERROR(HLOOKUP(DAY(B16),Urlaub!$C$4:$AG$16,MONTH(B16)+1,FALSE),0)</f>
        <v>0</v>
      </c>
      <c r="AX16" s="38">
        <f t="shared" si="3"/>
        <v>0</v>
      </c>
      <c r="AY16" s="7">
        <f t="shared" si="4"/>
        <v>2.0833333333333301E-2</v>
      </c>
      <c r="AZ16" s="5">
        <f t="shared" si="5"/>
        <v>0</v>
      </c>
      <c r="BA16" s="39">
        <f t="shared" si="7"/>
        <v>0</v>
      </c>
      <c r="BB16" s="5">
        <f t="shared" si="6"/>
        <v>0.33333333333333331</v>
      </c>
    </row>
    <row r="17" spans="2:54" ht="18.75" x14ac:dyDescent="0.3">
      <c r="B17" s="43">
        <f t="shared" si="8"/>
        <v>41832</v>
      </c>
      <c r="C17" s="44">
        <f t="shared" si="9"/>
        <v>41832</v>
      </c>
      <c r="D17" s="3"/>
      <c r="E17" s="62"/>
      <c r="F17" s="62"/>
      <c r="G17" s="62"/>
      <c r="H17" s="62"/>
      <c r="I17" s="62" t="str">
        <f t="shared" ca="1" si="0"/>
        <v/>
      </c>
      <c r="J17" s="52">
        <f>IF(AND(Feiertage!$G$2&lt;&gt;"ja",AV17=1),IF(AZ17&gt;0,BB17+AZ17,BB17),IF(AZ17=0,0, IF(I17&lt;&gt;"",AZ17-I17,AZ17)))+AX17</f>
        <v>0</v>
      </c>
      <c r="K17" s="62">
        <f>IF(AV17=0,BB17,IF(Feiertage!$G$2="ja","00:00",BB17))</f>
        <v>0.33333333333333331</v>
      </c>
      <c r="L17" s="52">
        <f t="shared" ca="1" si="1"/>
        <v>-0.33333333333333331</v>
      </c>
      <c r="M17" s="50" t="str">
        <f>IF(AV17=1,AU17,IF(LOWER(AW17)=LOWER(Urlaub!$W$19),Urlaub!$S$19,
IF(LOWER(AW17)=LOWER(Urlaub!$W$20),Urlaub!$S$20,
IF(LOWER(AW17)=LOWER(Urlaub!$W$21),Urlaub!$S$21,
IF(LOWER(AW17)=LOWER(Urlaub!$W$22),Urlaub!$S$22,
IF(LOWER(AW17)=LOWER(Urlaub!$W$23),Urlaub!$S$23,
IF(LOWER(AW17)=LOWER(Urlaub!$W$24),Urlaub!$S$24,""))))))&amp;IF(AND(EXACT(LOWER(AW17),AW17),AW17&lt;&gt;0)," 1/2",""))</f>
        <v/>
      </c>
      <c r="N17" s="53">
        <f t="shared" si="2"/>
        <v>0</v>
      </c>
      <c r="P17" s="158"/>
      <c r="Q17" s="159"/>
      <c r="R17" s="159"/>
      <c r="S17" s="159"/>
      <c r="T17" s="159"/>
      <c r="U17" s="159"/>
      <c r="V17" s="160"/>
      <c r="AU17" t="str">
        <f>IF(AV17=1,VLOOKUP($B17,Feiertage!$B$2:$D$49,3,FALSE),"")</f>
        <v/>
      </c>
      <c r="AV17">
        <f>IF(IFERROR(MATCH($B17,Feiertage!$B$2:$B$49,0)&gt;0,0),1,0)</f>
        <v>0</v>
      </c>
      <c r="AW17" s="22">
        <f>IFERROR(HLOOKUP(DAY(B17),Urlaub!$C$4:$AG$16,MONTH(B17)+1,FALSE),0)</f>
        <v>0</v>
      </c>
      <c r="AX17" s="38">
        <f t="shared" ref="AX17:AX35" si="10">IFERROR(IF(OR(AW17=0,AW17="G"),0,IF(EXACT(LOWER(AW17),AW17),0.5*BB17,BB17)),"")</f>
        <v>0</v>
      </c>
      <c r="AY17" s="7">
        <f t="shared" si="4"/>
        <v>2.0833333333333301E-2</v>
      </c>
      <c r="AZ17" s="5">
        <f t="shared" si="5"/>
        <v>0</v>
      </c>
      <c r="BA17" s="39">
        <f t="shared" si="7"/>
        <v>0</v>
      </c>
      <c r="BB17" s="5">
        <f t="shared" si="6"/>
        <v>0.33333333333333331</v>
      </c>
    </row>
    <row r="18" spans="2:54" ht="19.5" thickBot="1" x14ac:dyDescent="0.35">
      <c r="B18" s="43">
        <f t="shared" si="8"/>
        <v>41833</v>
      </c>
      <c r="C18" s="44">
        <f t="shared" si="9"/>
        <v>41833</v>
      </c>
      <c r="D18" s="3"/>
      <c r="E18" s="62"/>
      <c r="F18" s="62"/>
      <c r="G18" s="62"/>
      <c r="H18" s="62"/>
      <c r="I18" s="62" t="str">
        <f t="shared" ca="1" si="0"/>
        <v/>
      </c>
      <c r="J18" s="52">
        <f>IF(AND(Feiertage!$G$2&lt;&gt;"ja",AV18=1),IF(AZ18&gt;0,BB18+AZ18,BB18),IF(AZ18=0,0, IF(I18&lt;&gt;"",AZ18-I18,AZ18)))+AX18</f>
        <v>0</v>
      </c>
      <c r="K18" s="62">
        <f>IF(AV18=0,BB18,IF(Feiertage!$G$2="ja","00:00",BB18))</f>
        <v>0</v>
      </c>
      <c r="L18" s="52" t="str">
        <f t="shared" ca="1" si="1"/>
        <v/>
      </c>
      <c r="M18" s="50" t="str">
        <f>IF(AV18=1,AU18,IF(LOWER(AW18)=LOWER(Urlaub!$W$19),Urlaub!$S$19,
IF(LOWER(AW18)=LOWER(Urlaub!$W$20),Urlaub!$S$20,
IF(LOWER(AW18)=LOWER(Urlaub!$W$21),Urlaub!$S$21,
IF(LOWER(AW18)=LOWER(Urlaub!$W$22),Urlaub!$S$22,
IF(LOWER(AW18)=LOWER(Urlaub!$W$23),Urlaub!$S$23,
IF(LOWER(AW18)=LOWER(Urlaub!$W$24),Urlaub!$S$24,""))))))&amp;IF(AND(EXACT(LOWER(AW18),AW18),AW18&lt;&gt;0)," 1/2",""))</f>
        <v/>
      </c>
      <c r="N18" s="53">
        <f t="shared" si="2"/>
        <v>0</v>
      </c>
      <c r="P18" s="161"/>
      <c r="Q18" s="162"/>
      <c r="R18" s="162"/>
      <c r="S18" s="162"/>
      <c r="T18" s="162"/>
      <c r="U18" s="162"/>
      <c r="V18" s="163"/>
      <c r="AU18" t="str">
        <f>IF(AV18=1,VLOOKUP($B18,Feiertage!$B$2:$D$49,3,FALSE),"")</f>
        <v/>
      </c>
      <c r="AV18">
        <f>IF(IFERROR(MATCH($B18,Feiertage!$B$2:$B$49,0)&gt;0,0),1,0)</f>
        <v>0</v>
      </c>
      <c r="AW18" s="22">
        <f>IFERROR(HLOOKUP(DAY(B18),Urlaub!$C$4:$AG$16,MONTH(B18)+1,FALSE),0)</f>
        <v>0</v>
      </c>
      <c r="AX18" s="38">
        <f t="shared" si="10"/>
        <v>0</v>
      </c>
      <c r="AY18" s="7">
        <f t="shared" si="4"/>
        <v>2.0833333333333301E-2</v>
      </c>
      <c r="AZ18" s="5">
        <f t="shared" si="5"/>
        <v>0</v>
      </c>
      <c r="BA18" s="39">
        <f t="shared" si="7"/>
        <v>0</v>
      </c>
      <c r="BB18" s="5">
        <f t="shared" si="6"/>
        <v>0</v>
      </c>
    </row>
    <row r="19" spans="2:54" ht="18.75" x14ac:dyDescent="0.3">
      <c r="B19" s="43">
        <f t="shared" si="8"/>
        <v>41834</v>
      </c>
      <c r="C19" s="44">
        <f t="shared" si="9"/>
        <v>41834</v>
      </c>
      <c r="D19" s="3"/>
      <c r="E19" s="62"/>
      <c r="F19" s="62"/>
      <c r="G19" s="62"/>
      <c r="H19" s="62"/>
      <c r="I19" s="62" t="str">
        <f t="shared" ca="1" si="0"/>
        <v/>
      </c>
      <c r="J19" s="52">
        <f>IF(AND(Feiertage!$G$2&lt;&gt;"ja",AV19=1),IF(AZ19&gt;0,BB19+AZ19,BB19),IF(AZ19=0,0, IF(I19&lt;&gt;"",AZ19-I19,AZ19)))+AX19</f>
        <v>0</v>
      </c>
      <c r="K19" s="62">
        <f>IF(AV19=0,BB19,IF(Feiertage!$G$2="ja","00:00",BB19))</f>
        <v>0</v>
      </c>
      <c r="L19" s="52" t="str">
        <f ca="1">IF(OR(B19&lt;=TODAY(),J19,AW19="G"),IF(J19&lt;&gt;"",IF(J19-K19=0,"",J19-K19),IF(K19&lt;&gt;"",-K19,"")),"")</f>
        <v/>
      </c>
      <c r="M19" s="50" t="str">
        <f>IF(AV19=1,AU19,IF(LOWER(AW19)=LOWER(Urlaub!$W$19),Urlaub!$S$19,
IF(LOWER(AW19)=LOWER(Urlaub!$W$20),Urlaub!$S$20,
IF(LOWER(AW19)=LOWER(Urlaub!$W$21),Urlaub!$S$21,
IF(LOWER(AW19)=LOWER(Urlaub!$W$22),Urlaub!$S$22,
IF(LOWER(AW19)=LOWER(Urlaub!$W$23),Urlaub!$S$23,
IF(LOWER(AW19)=LOWER(Urlaub!$W$24),Urlaub!$S$24,""))))))&amp;IF(AND(EXACT(LOWER(AW19),AW19),AW19&lt;&gt;0)," 1/2",""))</f>
        <v/>
      </c>
      <c r="N19" s="53">
        <f t="shared" si="2"/>
        <v>0</v>
      </c>
      <c r="AU19" t="str">
        <f>IF(AV19=1,VLOOKUP($B19,Feiertage!$B$2:$D$49,3,FALSE),"")</f>
        <v/>
      </c>
      <c r="AV19">
        <f>IF(IFERROR(MATCH($B19,Feiertage!$B$2:$B$49,0)&gt;0,0),1,0)</f>
        <v>0</v>
      </c>
      <c r="AW19" s="22">
        <f>IFERROR(HLOOKUP(DAY(B19),Urlaub!$C$4:$AG$16,MONTH(B19)+1,FALSE),0)</f>
        <v>0</v>
      </c>
      <c r="AX19" s="38">
        <f>IFERROR(IF(OR(AW19=0,AW19="G"),0,IF(EXACT(LOWER(AW19),AW19),0.5*BB19,BB19)),"")</f>
        <v>0</v>
      </c>
      <c r="AY19" s="7">
        <f t="shared" si="4"/>
        <v>2.0833333333333301E-2</v>
      </c>
      <c r="AZ19" s="5">
        <f t="shared" si="5"/>
        <v>0</v>
      </c>
      <c r="BA19" s="39">
        <f t="shared" si="7"/>
        <v>0</v>
      </c>
      <c r="BB19" s="5">
        <f t="shared" si="6"/>
        <v>0</v>
      </c>
    </row>
    <row r="20" spans="2:54" ht="18.75" x14ac:dyDescent="0.3">
      <c r="B20" s="43">
        <f t="shared" si="8"/>
        <v>41835</v>
      </c>
      <c r="C20" s="44">
        <f t="shared" si="9"/>
        <v>41835</v>
      </c>
      <c r="D20" s="3"/>
      <c r="E20" s="62"/>
      <c r="F20" s="62"/>
      <c r="G20" s="62"/>
      <c r="H20" s="62"/>
      <c r="I20" s="62" t="str">
        <f t="shared" ca="1" si="0"/>
        <v/>
      </c>
      <c r="J20" s="52">
        <f>IF(AND(Feiertage!$G$2&lt;&gt;"ja",AV20=1),IF(AZ20&gt;0,BB20+AZ20,BB20),IF(AZ20=0,0, IF(I20&lt;&gt;"",AZ20-I20,AZ20)))+AX20</f>
        <v>0</v>
      </c>
      <c r="K20" s="62">
        <f>IF(AV20=0,BB20,IF(Feiertage!$G$2="ja","00:00",BB20))</f>
        <v>0.33333333333333331</v>
      </c>
      <c r="L20" s="52">
        <f t="shared" ref="L20:L35" ca="1" si="11">IF(OR(B20&lt;=TODAY(),J20,AW20="G"),IF(J20&lt;&gt;"",IF(J20-K20=0,"",J20-K20),IF(K20&lt;&gt;"",-K20,"")),"")</f>
        <v>-0.33333333333333331</v>
      </c>
      <c r="M20" s="50" t="str">
        <f>IF(AV20=1,AU20,IF(LOWER(AW20)=LOWER(Urlaub!$W$19),Urlaub!$S$19,
IF(LOWER(AW20)=LOWER(Urlaub!$W$20),Urlaub!$S$20,
IF(LOWER(AW20)=LOWER(Urlaub!$W$21),Urlaub!$S$21,
IF(LOWER(AW20)=LOWER(Urlaub!$W$22),Urlaub!$S$22,
IF(LOWER(AW20)=LOWER(Urlaub!$W$23),Urlaub!$S$23,
IF(LOWER(AW20)=LOWER(Urlaub!$W$24),Urlaub!$S$24,""))))))&amp;IF(AND(EXACT(LOWER(AW20),AW20),AW20&lt;&gt;0)," 1/2",""))</f>
        <v/>
      </c>
      <c r="N20" s="53">
        <f t="shared" si="2"/>
        <v>0</v>
      </c>
      <c r="AU20" t="str">
        <f>IF(AV20=1,VLOOKUP($B20,Feiertage!$B$2:$D$49,3,FALSE),"")</f>
        <v/>
      </c>
      <c r="AV20">
        <f>IF(IFERROR(MATCH($B20,Feiertage!$B$2:$B$49,0)&gt;0,0),1,0)</f>
        <v>0</v>
      </c>
      <c r="AW20" s="22">
        <f>IFERROR(HLOOKUP(DAY(B20),Urlaub!$C$4:$AG$16,MONTH(B20)+1,FALSE),0)</f>
        <v>0</v>
      </c>
      <c r="AX20" s="38">
        <f t="shared" si="10"/>
        <v>0</v>
      </c>
      <c r="AY20" s="7">
        <f t="shared" si="4"/>
        <v>2.0833333333333332E-2</v>
      </c>
      <c r="AZ20" s="5">
        <f t="shared" si="5"/>
        <v>0</v>
      </c>
      <c r="BA20" s="39">
        <f t="shared" si="7"/>
        <v>0</v>
      </c>
      <c r="BB20" s="5">
        <f t="shared" si="6"/>
        <v>0.33333333333333331</v>
      </c>
    </row>
    <row r="21" spans="2:54" ht="18.75" x14ac:dyDescent="0.3">
      <c r="B21" s="43">
        <f t="shared" si="8"/>
        <v>41836</v>
      </c>
      <c r="C21" s="44">
        <f t="shared" si="9"/>
        <v>41836</v>
      </c>
      <c r="D21" s="3"/>
      <c r="E21" s="62"/>
      <c r="F21" s="62"/>
      <c r="G21" s="62"/>
      <c r="H21" s="62"/>
      <c r="I21" s="62" t="str">
        <f t="shared" ca="1" si="0"/>
        <v/>
      </c>
      <c r="J21" s="52">
        <f>IF(AND(Feiertage!$G$2&lt;&gt;"ja",AV21=1),IF(AZ21&gt;0,BB21+AZ21,BB21),IF(AZ21=0,0, IF(I21&lt;&gt;"",AZ21-I21,AZ21)))+AX21</f>
        <v>0</v>
      </c>
      <c r="K21" s="62">
        <f>IF(AV21=0,BB21,IF(Feiertage!$G$2="ja","00:00",BB21))</f>
        <v>0.33333333333333331</v>
      </c>
      <c r="L21" s="52">
        <f t="shared" ca="1" si="11"/>
        <v>-0.33333333333333331</v>
      </c>
      <c r="M21" s="50" t="str">
        <f>IF(AV21=1,AU21,IF(LOWER(AW21)=LOWER(Urlaub!$W$19),Urlaub!$S$19,
IF(LOWER(AW21)=LOWER(Urlaub!$W$20),Urlaub!$S$20,
IF(LOWER(AW21)=LOWER(Urlaub!$W$21),Urlaub!$S$21,
IF(LOWER(AW21)=LOWER(Urlaub!$W$22),Urlaub!$S$22,
IF(LOWER(AW21)=LOWER(Urlaub!$W$23),Urlaub!$S$23,
IF(LOWER(AW21)=LOWER(Urlaub!$W$24),Urlaub!$S$24,""))))))&amp;IF(AND(EXACT(LOWER(AW21),AW21),AW21&lt;&gt;0)," 1/2",""))</f>
        <v/>
      </c>
      <c r="N21" s="53">
        <f t="shared" si="2"/>
        <v>0</v>
      </c>
      <c r="AU21" t="str">
        <f>IF(AV21=1,VLOOKUP($B21,Feiertage!$B$2:$D$49,3,FALSE),"")</f>
        <v/>
      </c>
      <c r="AV21">
        <f>IF(IFERROR(MATCH($B21,Feiertage!$B$2:$B$49,0)&gt;0,0),1,0)</f>
        <v>0</v>
      </c>
      <c r="AW21" s="22">
        <f>IFERROR(HLOOKUP(DAY(B21),Urlaub!$C$4:$AG$16,MONTH(B21)+1,FALSE),0)</f>
        <v>0</v>
      </c>
      <c r="AX21" s="38">
        <f t="shared" si="10"/>
        <v>0</v>
      </c>
      <c r="AY21" s="7">
        <f t="shared" si="4"/>
        <v>2.0833333333333332E-2</v>
      </c>
      <c r="AZ21" s="5">
        <f t="shared" si="5"/>
        <v>0</v>
      </c>
      <c r="BA21" s="39">
        <f t="shared" si="7"/>
        <v>0</v>
      </c>
      <c r="BB21" s="5">
        <f t="shared" si="6"/>
        <v>0.33333333333333331</v>
      </c>
    </row>
    <row r="22" spans="2:54" ht="18.75" x14ac:dyDescent="0.3">
      <c r="B22" s="43">
        <f t="shared" si="8"/>
        <v>41837</v>
      </c>
      <c r="C22" s="44">
        <f t="shared" si="9"/>
        <v>41837</v>
      </c>
      <c r="D22" s="3"/>
      <c r="E22" s="62"/>
      <c r="F22" s="62"/>
      <c r="G22" s="62"/>
      <c r="H22" s="62"/>
      <c r="I22" s="62" t="str">
        <f t="shared" ca="1" si="0"/>
        <v/>
      </c>
      <c r="J22" s="52">
        <f>IF(AND(Feiertage!$G$2&lt;&gt;"ja",AV22=1),IF(AZ22&gt;0,BB22+AZ22,BB22),IF(AZ22=0,0, IF(I22&lt;&gt;"",AZ22-I22,AZ22)))+AX22</f>
        <v>0</v>
      </c>
      <c r="K22" s="62">
        <f>IF(AV22=0,BB22,IF(Feiertage!$G$2="ja","00:00",BB22))</f>
        <v>0.33333333333333331</v>
      </c>
      <c r="L22" s="52">
        <f t="shared" ca="1" si="11"/>
        <v>-0.33333333333333331</v>
      </c>
      <c r="M22" s="50" t="str">
        <f>IF(AV22=1,AU22,IF(LOWER(AW22)=LOWER(Urlaub!$W$19),Urlaub!$S$19,
IF(LOWER(AW22)=LOWER(Urlaub!$W$20),Urlaub!$S$20,
IF(LOWER(AW22)=LOWER(Urlaub!$W$21),Urlaub!$S$21,
IF(LOWER(AW22)=LOWER(Urlaub!$W$22),Urlaub!$S$22,
IF(LOWER(AW22)=LOWER(Urlaub!$W$23),Urlaub!$S$23,
IF(LOWER(AW22)=LOWER(Urlaub!$W$24),Urlaub!$S$24,""))))))&amp;IF(AND(EXACT(LOWER(AW22),AW22),AW22&lt;&gt;0)," 1/2",""))</f>
        <v/>
      </c>
      <c r="N22" s="53">
        <f t="shared" si="2"/>
        <v>0</v>
      </c>
      <c r="AU22" t="str">
        <f>IF(AV22=1,VLOOKUP($B22,Feiertage!$B$2:$D$49,3,FALSE),"")</f>
        <v/>
      </c>
      <c r="AV22">
        <f>IF(IFERROR(MATCH($B22,Feiertage!$B$2:$B$49,0)&gt;0,0),1,0)</f>
        <v>0</v>
      </c>
      <c r="AW22" s="22">
        <f>IFERROR(HLOOKUP(DAY(B22),Urlaub!$C$4:$AG$16,MONTH(B22)+1,FALSE),0)</f>
        <v>0</v>
      </c>
      <c r="AX22" s="38">
        <f t="shared" si="10"/>
        <v>0</v>
      </c>
      <c r="AY22" s="7">
        <f t="shared" si="4"/>
        <v>2.0833333333333301E-2</v>
      </c>
      <c r="AZ22" s="5">
        <f t="shared" si="5"/>
        <v>0</v>
      </c>
      <c r="BA22" s="39">
        <f t="shared" si="7"/>
        <v>0</v>
      </c>
      <c r="BB22" s="5">
        <f t="shared" si="6"/>
        <v>0.33333333333333331</v>
      </c>
    </row>
    <row r="23" spans="2:54" ht="18.75" x14ac:dyDescent="0.3">
      <c r="B23" s="43">
        <f t="shared" si="8"/>
        <v>41838</v>
      </c>
      <c r="C23" s="44">
        <f t="shared" si="9"/>
        <v>41838</v>
      </c>
      <c r="D23" s="3"/>
      <c r="E23" s="62"/>
      <c r="F23" s="62"/>
      <c r="G23" s="62"/>
      <c r="H23" s="62"/>
      <c r="I23" s="62" t="str">
        <f t="shared" ca="1" si="0"/>
        <v/>
      </c>
      <c r="J23" s="52">
        <f>IF(AND(Feiertage!$G$2&lt;&gt;"ja",AV23=1),IF(AZ23&gt;0,BB23+AZ23,BB23),IF(AZ23=0,0, IF(I23&lt;&gt;"",AZ23-I23,AZ23)))+AX23</f>
        <v>0</v>
      </c>
      <c r="K23" s="62">
        <f>IF(AV23=0,BB23,IF(Feiertage!$G$2="ja","00:00",BB23))</f>
        <v>0.33333333333333331</v>
      </c>
      <c r="L23" s="52">
        <f t="shared" ca="1" si="11"/>
        <v>-0.33333333333333331</v>
      </c>
      <c r="M23" s="50" t="str">
        <f>IF(AV23=1,AU23,IF(LOWER(AW23)=LOWER(Urlaub!$W$19),Urlaub!$S$19,
IF(LOWER(AW23)=LOWER(Urlaub!$W$20),Urlaub!$S$20,
IF(LOWER(AW23)=LOWER(Urlaub!$W$21),Urlaub!$S$21,
IF(LOWER(AW23)=LOWER(Urlaub!$W$22),Urlaub!$S$22,
IF(LOWER(AW23)=LOWER(Urlaub!$W$23),Urlaub!$S$23,
IF(LOWER(AW23)=LOWER(Urlaub!$W$24),Urlaub!$S$24,""))))))&amp;IF(AND(EXACT(LOWER(AW23),AW23),AW23&lt;&gt;0)," 1/2",""))</f>
        <v/>
      </c>
      <c r="N23" s="53">
        <f t="shared" si="2"/>
        <v>0</v>
      </c>
      <c r="AU23" t="str">
        <f>IF(AV23=1,VLOOKUP($B23,Feiertage!$B$2:$D$49,3,FALSE),"")</f>
        <v/>
      </c>
      <c r="AV23">
        <f>IF(IFERROR(MATCH($B23,Feiertage!$B$2:$B$49,0)&gt;0,0),1,0)</f>
        <v>0</v>
      </c>
      <c r="AW23" s="22">
        <f>IFERROR(HLOOKUP(DAY(B23),Urlaub!$C$4:$AG$16,MONTH(B23)+1,FALSE),0)</f>
        <v>0</v>
      </c>
      <c r="AX23" s="38">
        <f>IFERROR(IF(OR(AW23=0,AW23="G"),0,IF(EXACT(LOWER(AW23),AW23),0.5*BB23,BB23)),"")</f>
        <v>0</v>
      </c>
      <c r="AY23" s="7">
        <f t="shared" si="4"/>
        <v>2.0833333333333301E-2</v>
      </c>
      <c r="AZ23" s="5">
        <f t="shared" si="5"/>
        <v>0</v>
      </c>
      <c r="BA23" s="39">
        <f t="shared" si="7"/>
        <v>0</v>
      </c>
      <c r="BB23" s="5">
        <f t="shared" si="6"/>
        <v>0.33333333333333331</v>
      </c>
    </row>
    <row r="24" spans="2:54" ht="18.75" x14ac:dyDescent="0.3">
      <c r="B24" s="43">
        <f t="shared" si="8"/>
        <v>41839</v>
      </c>
      <c r="C24" s="44">
        <f t="shared" si="9"/>
        <v>41839</v>
      </c>
      <c r="D24" s="3"/>
      <c r="E24" s="62"/>
      <c r="F24" s="62"/>
      <c r="G24" s="62"/>
      <c r="H24" s="62"/>
      <c r="I24" s="62" t="str">
        <f t="shared" ca="1" si="0"/>
        <v/>
      </c>
      <c r="J24" s="52">
        <f>IF(AND(Feiertage!$G$2&lt;&gt;"ja",AV24=1),IF(AZ24&gt;0,BB24+AZ24,BB24),IF(AZ24=0,0, IF(I24&lt;&gt;"",AZ24-I24,AZ24)))+AX24</f>
        <v>0</v>
      </c>
      <c r="K24" s="62">
        <f>IF(AV24=0,BB24,IF(Feiertage!$G$2="ja","00:00",BB24))</f>
        <v>0.33333333333333331</v>
      </c>
      <c r="L24" s="52">
        <f t="shared" ca="1" si="11"/>
        <v>-0.33333333333333331</v>
      </c>
      <c r="M24" s="50" t="str">
        <f>IF(AV24=1,AU24,IF(LOWER(AW24)=LOWER(Urlaub!$W$19),Urlaub!$S$19,
IF(LOWER(AW24)=LOWER(Urlaub!$W$20),Urlaub!$S$20,
IF(LOWER(AW24)=LOWER(Urlaub!$W$21),Urlaub!$S$21,
IF(LOWER(AW24)=LOWER(Urlaub!$W$22),Urlaub!$S$22,
IF(LOWER(AW24)=LOWER(Urlaub!$W$23),Urlaub!$S$23,
IF(LOWER(AW24)=LOWER(Urlaub!$W$24),Urlaub!$S$24,""))))))&amp;IF(AND(EXACT(LOWER(AW24),AW24),AW24&lt;&gt;0)," 1/2",""))</f>
        <v/>
      </c>
      <c r="N24" s="53">
        <f t="shared" si="2"/>
        <v>0</v>
      </c>
      <c r="AU24" t="str">
        <f>IF(AV24=1,VLOOKUP($B24,Feiertage!$B$2:$D$49,3,FALSE),"")</f>
        <v/>
      </c>
      <c r="AV24">
        <f>IF(IFERROR(MATCH($B24,Feiertage!$B$2:$B$49,0)&gt;0,0),1,0)</f>
        <v>0</v>
      </c>
      <c r="AW24" s="22">
        <f>IFERROR(HLOOKUP(DAY(B24),Urlaub!$C$4:$AG$16,MONTH(B24)+1,FALSE),0)</f>
        <v>0</v>
      </c>
      <c r="AX24" s="38">
        <f t="shared" si="10"/>
        <v>0</v>
      </c>
      <c r="AY24" s="7">
        <f t="shared" si="4"/>
        <v>2.0833333333333301E-2</v>
      </c>
      <c r="AZ24" s="5">
        <f t="shared" si="5"/>
        <v>0</v>
      </c>
      <c r="BA24" s="39">
        <f t="shared" si="7"/>
        <v>0</v>
      </c>
      <c r="BB24" s="5">
        <f t="shared" si="6"/>
        <v>0.33333333333333331</v>
      </c>
    </row>
    <row r="25" spans="2:54" ht="18.75" x14ac:dyDescent="0.3">
      <c r="B25" s="43">
        <f t="shared" si="8"/>
        <v>41840</v>
      </c>
      <c r="C25" s="44">
        <f t="shared" si="9"/>
        <v>41840</v>
      </c>
      <c r="D25" s="3"/>
      <c r="E25" s="62"/>
      <c r="F25" s="62"/>
      <c r="G25" s="62"/>
      <c r="H25" s="62"/>
      <c r="I25" s="62" t="str">
        <f t="shared" ca="1" si="0"/>
        <v/>
      </c>
      <c r="J25" s="52">
        <f>IF(AND(Feiertage!$G$2&lt;&gt;"ja",AV25=1),IF(AZ25&gt;0,BB25+AZ25,BB25),IF(AZ25=0,0, IF(I25&lt;&gt;"",AZ25-I25,AZ25)))+AX25</f>
        <v>0</v>
      </c>
      <c r="K25" s="62">
        <f>IF(AV25=0,BB25,IF(Feiertage!$G$2="ja","00:00",BB25))</f>
        <v>0</v>
      </c>
      <c r="L25" s="52" t="str">
        <f t="shared" ca="1" si="11"/>
        <v/>
      </c>
      <c r="M25" s="50" t="str">
        <f>IF(AV25=1,AU25,IF(LOWER(AW25)=LOWER(Urlaub!$W$19),Urlaub!$S$19,
IF(LOWER(AW25)=LOWER(Urlaub!$W$20),Urlaub!$S$20,
IF(LOWER(AW25)=LOWER(Urlaub!$W$21),Urlaub!$S$21,
IF(LOWER(AW25)=LOWER(Urlaub!$W$22),Urlaub!$S$22,
IF(LOWER(AW25)=LOWER(Urlaub!$W$23),Urlaub!$S$23,
IF(LOWER(AW25)=LOWER(Urlaub!$W$24),Urlaub!$S$24,""))))))&amp;IF(AND(EXACT(LOWER(AW25),AW25),AW25&lt;&gt;0)," 1/2",""))</f>
        <v/>
      </c>
      <c r="N25" s="53">
        <f t="shared" si="2"/>
        <v>0</v>
      </c>
      <c r="AU25" t="str">
        <f>IF(AV25=1,VLOOKUP($B25,Feiertage!$B$2:$D$49,3,FALSE),"")</f>
        <v/>
      </c>
      <c r="AV25">
        <f>IF(IFERROR(MATCH($B25,Feiertage!$B$2:$B$49,0)&gt;0,0),1,0)</f>
        <v>0</v>
      </c>
      <c r="AW25" s="22">
        <f>IFERROR(HLOOKUP(DAY(B25),Urlaub!$C$4:$AG$16,MONTH(B25)+1,FALSE),0)</f>
        <v>0</v>
      </c>
      <c r="AX25" s="38">
        <f t="shared" si="10"/>
        <v>0</v>
      </c>
      <c r="AY25" s="7">
        <f t="shared" si="4"/>
        <v>2.0833333333333301E-2</v>
      </c>
      <c r="AZ25" s="5">
        <f t="shared" si="5"/>
        <v>0</v>
      </c>
      <c r="BA25" s="39">
        <f t="shared" si="7"/>
        <v>0</v>
      </c>
      <c r="BB25" s="5">
        <f t="shared" si="6"/>
        <v>0</v>
      </c>
    </row>
    <row r="26" spans="2:54" ht="18.75" x14ac:dyDescent="0.3">
      <c r="B26" s="43">
        <f t="shared" si="8"/>
        <v>41841</v>
      </c>
      <c r="C26" s="44">
        <f t="shared" si="9"/>
        <v>41841</v>
      </c>
      <c r="D26" s="3"/>
      <c r="E26" s="62"/>
      <c r="F26" s="62"/>
      <c r="G26" s="62"/>
      <c r="H26" s="62"/>
      <c r="I26" s="62" t="str">
        <f t="shared" ca="1" si="0"/>
        <v/>
      </c>
      <c r="J26" s="52">
        <f>IF(AND(Feiertage!$G$2&lt;&gt;"ja",AV26=1),IF(AZ26&gt;0,BB26+AZ26,BB26),IF(AZ26=0,0, IF(I26&lt;&gt;"",AZ26-I26,AZ26)))+AX26</f>
        <v>0</v>
      </c>
      <c r="K26" s="62">
        <f>IF(AV26=0,BB26,IF(Feiertage!$G$2="ja","00:00",BB26))</f>
        <v>0</v>
      </c>
      <c r="L26" s="52" t="str">
        <f t="shared" ca="1" si="11"/>
        <v/>
      </c>
      <c r="M26" s="50" t="str">
        <f>IF(AV26=1,AU26,IF(LOWER(AW26)=LOWER(Urlaub!$W$19),Urlaub!$S$19,
IF(LOWER(AW26)=LOWER(Urlaub!$W$20),Urlaub!$S$20,
IF(LOWER(AW26)=LOWER(Urlaub!$W$21),Urlaub!$S$21,
IF(LOWER(AW26)=LOWER(Urlaub!$W$22),Urlaub!$S$22,
IF(LOWER(AW26)=LOWER(Urlaub!$W$23),Urlaub!$S$23,
IF(LOWER(AW26)=LOWER(Urlaub!$W$24),Urlaub!$S$24,""))))))&amp;IF(AND(EXACT(LOWER(AW26),AW26),AW26&lt;&gt;0)," 1/2",""))</f>
        <v/>
      </c>
      <c r="N26" s="53">
        <f t="shared" si="2"/>
        <v>0</v>
      </c>
      <c r="AU26" t="str">
        <f>IF(AV26=1,VLOOKUP($B26,Feiertage!$B$2:$D$49,3,FALSE),"")</f>
        <v/>
      </c>
      <c r="AV26">
        <f>IF(IFERROR(MATCH($B26,Feiertage!$B$2:$B$49,0)&gt;0,0),1,0)</f>
        <v>0</v>
      </c>
      <c r="AW26" s="22">
        <f>IFERROR(HLOOKUP(DAY(B26),Urlaub!$C$4:$AG$16,MONTH(B26)+1,FALSE),0)</f>
        <v>0</v>
      </c>
      <c r="AX26" s="38">
        <f t="shared" si="10"/>
        <v>0</v>
      </c>
      <c r="AY26" s="7">
        <f t="shared" si="4"/>
        <v>2.0833333333333301E-2</v>
      </c>
      <c r="AZ26" s="5">
        <f t="shared" si="5"/>
        <v>0</v>
      </c>
      <c r="BA26" s="39">
        <f t="shared" si="7"/>
        <v>0</v>
      </c>
      <c r="BB26" s="5">
        <f t="shared" si="6"/>
        <v>0</v>
      </c>
    </row>
    <row r="27" spans="2:54" ht="18.75" x14ac:dyDescent="0.3">
      <c r="B27" s="43">
        <f t="shared" si="8"/>
        <v>41842</v>
      </c>
      <c r="C27" s="44">
        <f t="shared" si="9"/>
        <v>41842</v>
      </c>
      <c r="D27" s="3"/>
      <c r="E27" s="62"/>
      <c r="F27" s="62"/>
      <c r="G27" s="62"/>
      <c r="H27" s="62"/>
      <c r="I27" s="62" t="str">
        <f t="shared" ca="1" si="0"/>
        <v/>
      </c>
      <c r="J27" s="52">
        <f>IF(AND(Feiertage!$G$2&lt;&gt;"ja",AV27=1),IF(AZ27&gt;0,BB27+AZ27,BB27),IF(AZ27=0,0, IF(I27&lt;&gt;"",AZ27-I27,AZ27)))+AX27</f>
        <v>0</v>
      </c>
      <c r="K27" s="62">
        <f>IF(AV27=0,BB27,IF(Feiertage!$G$2="ja","00:00",BB27))</f>
        <v>0.33333333333333331</v>
      </c>
      <c r="L27" s="52">
        <f t="shared" ca="1" si="11"/>
        <v>-0.33333333333333331</v>
      </c>
      <c r="M27" s="50" t="str">
        <f>IF(AV27=1,AU27,IF(LOWER(AW27)=LOWER(Urlaub!$W$19),Urlaub!$S$19,
IF(LOWER(AW27)=LOWER(Urlaub!$W$20),Urlaub!$S$20,
IF(LOWER(AW27)=LOWER(Urlaub!$W$21),Urlaub!$S$21,
IF(LOWER(AW27)=LOWER(Urlaub!$W$22),Urlaub!$S$22,
IF(LOWER(AW27)=LOWER(Urlaub!$W$23),Urlaub!$S$23,
IF(LOWER(AW27)=LOWER(Urlaub!$W$24),Urlaub!$S$24,""))))))&amp;IF(AND(EXACT(LOWER(AW27),AW27),AW27&lt;&gt;0)," 1/2",""))</f>
        <v/>
      </c>
      <c r="N27" s="53">
        <f t="shared" si="2"/>
        <v>0</v>
      </c>
      <c r="AU27" t="str">
        <f>IF(AV27=1,VLOOKUP($B27,Feiertage!$B$2:$D$49,3,FALSE),"")</f>
        <v/>
      </c>
      <c r="AV27">
        <f>IF(IFERROR(MATCH($B27,Feiertage!$B$2:$B$49,0)&gt;0,0),1,0)</f>
        <v>0</v>
      </c>
      <c r="AW27" s="22">
        <f>IFERROR(HLOOKUP(DAY(B27),Urlaub!$C$4:$AG$16,MONTH(B27)+1,FALSE),0)</f>
        <v>0</v>
      </c>
      <c r="AX27" s="38">
        <f t="shared" si="10"/>
        <v>0</v>
      </c>
      <c r="AY27" s="7">
        <f t="shared" si="4"/>
        <v>2.0833333333333332E-2</v>
      </c>
      <c r="AZ27" s="5">
        <f t="shared" si="5"/>
        <v>0</v>
      </c>
      <c r="BA27" s="39">
        <f t="shared" si="7"/>
        <v>0</v>
      </c>
      <c r="BB27" s="5">
        <f t="shared" si="6"/>
        <v>0.33333333333333331</v>
      </c>
    </row>
    <row r="28" spans="2:54" ht="18.75" x14ac:dyDescent="0.3">
      <c r="B28" s="43">
        <f t="shared" si="8"/>
        <v>41843</v>
      </c>
      <c r="C28" s="44">
        <f t="shared" si="9"/>
        <v>41843</v>
      </c>
      <c r="D28" s="3"/>
      <c r="E28" s="62"/>
      <c r="F28" s="62"/>
      <c r="G28" s="62"/>
      <c r="H28" s="62"/>
      <c r="I28" s="62" t="str">
        <f t="shared" ca="1" si="0"/>
        <v/>
      </c>
      <c r="J28" s="52">
        <f>IF(AND(Feiertage!$G$2&lt;&gt;"ja",AV28=1),IF(AZ28&gt;0,BB28+AZ28,BB28),IF(AZ28=0,0, IF(I28&lt;&gt;"",AZ28-I28,AZ28)))+AX28</f>
        <v>0</v>
      </c>
      <c r="K28" s="62">
        <f>IF(AV28=0,BB28,IF(Feiertage!$G$2="ja","00:00",BB28))</f>
        <v>0.33333333333333331</v>
      </c>
      <c r="L28" s="52">
        <f t="shared" ca="1" si="11"/>
        <v>-0.33333333333333331</v>
      </c>
      <c r="M28" s="50" t="str">
        <f>IF(AV28=1,AU28,IF(LOWER(AW28)=LOWER(Urlaub!$W$19),Urlaub!$S$19,
IF(LOWER(AW28)=LOWER(Urlaub!$W$20),Urlaub!$S$20,
IF(LOWER(AW28)=LOWER(Urlaub!$W$21),Urlaub!$S$21,
IF(LOWER(AW28)=LOWER(Urlaub!$W$22),Urlaub!$S$22,
IF(LOWER(AW28)=LOWER(Urlaub!$W$23),Urlaub!$S$23,
IF(LOWER(AW28)=LOWER(Urlaub!$W$24),Urlaub!$S$24,""))))))&amp;IF(AND(EXACT(LOWER(AW28),AW28),AW28&lt;&gt;0)," 1/2",""))</f>
        <v/>
      </c>
      <c r="N28" s="53">
        <f t="shared" si="2"/>
        <v>0</v>
      </c>
      <c r="AU28" t="str">
        <f>IF(AV28=1,VLOOKUP($B28,Feiertage!$B$2:$D$49,3,FALSE),"")</f>
        <v/>
      </c>
      <c r="AV28">
        <f>IF(IFERROR(MATCH($B28,Feiertage!$B$2:$B$49,0)&gt;0,0),1,0)</f>
        <v>0</v>
      </c>
      <c r="AW28" s="22">
        <f>IFERROR(HLOOKUP(DAY(B28),Urlaub!$C$4:$AG$16,MONTH(B28)+1,FALSE),0)</f>
        <v>0</v>
      </c>
      <c r="AX28" s="38">
        <f t="shared" si="10"/>
        <v>0</v>
      </c>
      <c r="AY28" s="7">
        <f t="shared" si="4"/>
        <v>2.0833333333333332E-2</v>
      </c>
      <c r="AZ28" s="5">
        <f t="shared" si="5"/>
        <v>0</v>
      </c>
      <c r="BA28" s="39">
        <f t="shared" si="7"/>
        <v>0</v>
      </c>
      <c r="BB28" s="5">
        <f t="shared" si="6"/>
        <v>0.33333333333333331</v>
      </c>
    </row>
    <row r="29" spans="2:54" ht="18.75" x14ac:dyDescent="0.3">
      <c r="B29" s="43">
        <f t="shared" si="8"/>
        <v>41844</v>
      </c>
      <c r="C29" s="44">
        <f t="shared" si="9"/>
        <v>41844</v>
      </c>
      <c r="D29" s="3"/>
      <c r="E29" s="62"/>
      <c r="F29" s="62"/>
      <c r="G29" s="62"/>
      <c r="H29" s="62"/>
      <c r="I29" s="62" t="str">
        <f t="shared" ca="1" si="0"/>
        <v/>
      </c>
      <c r="J29" s="52">
        <f>IF(AND(Feiertage!$G$2&lt;&gt;"ja",AV29=1),IF(AZ29&gt;0,BB29+AZ29,BB29),IF(AZ29=0,0, IF(I29&lt;&gt;"",AZ29-I29,AZ29)))+AX29</f>
        <v>0</v>
      </c>
      <c r="K29" s="62">
        <f>IF(AV29=0,BB29,IF(Feiertage!$G$2="ja","00:00",BB29))</f>
        <v>0.33333333333333331</v>
      </c>
      <c r="L29" s="52">
        <f t="shared" ca="1" si="11"/>
        <v>-0.33333333333333331</v>
      </c>
      <c r="M29" s="50" t="str">
        <f>IF(AV29=1,AU29,IF(LOWER(AW29)=LOWER(Urlaub!$W$19),Urlaub!$S$19,
IF(LOWER(AW29)=LOWER(Urlaub!$W$20),Urlaub!$S$20,
IF(LOWER(AW29)=LOWER(Urlaub!$W$21),Urlaub!$S$21,
IF(LOWER(AW29)=LOWER(Urlaub!$W$22),Urlaub!$S$22,
IF(LOWER(AW29)=LOWER(Urlaub!$W$23),Urlaub!$S$23,
IF(LOWER(AW29)=LOWER(Urlaub!$W$24),Urlaub!$S$24,""))))))&amp;IF(AND(EXACT(LOWER(AW29),AW29),AW29&lt;&gt;0)," 1/2",""))</f>
        <v/>
      </c>
      <c r="N29" s="53">
        <f t="shared" si="2"/>
        <v>0</v>
      </c>
      <c r="AU29" t="str">
        <f>IF(AV29=1,VLOOKUP($B29,Feiertage!$B$2:$D$49,3,FALSE),"")</f>
        <v/>
      </c>
      <c r="AV29">
        <f>IF(IFERROR(MATCH($B29,Feiertage!$B$2:$B$49,0)&gt;0,0),1,0)</f>
        <v>0</v>
      </c>
      <c r="AW29" s="22">
        <f>IFERROR(HLOOKUP(DAY(B29),Urlaub!$C$4:$AG$16,MONTH(B29)+1,FALSE),0)</f>
        <v>0</v>
      </c>
      <c r="AX29" s="38">
        <f t="shared" si="10"/>
        <v>0</v>
      </c>
      <c r="AY29" s="7">
        <f t="shared" si="4"/>
        <v>2.0833333333333301E-2</v>
      </c>
      <c r="AZ29" s="5">
        <f t="shared" si="5"/>
        <v>0</v>
      </c>
      <c r="BA29" s="39">
        <f t="shared" si="7"/>
        <v>0</v>
      </c>
      <c r="BB29" s="5">
        <f t="shared" si="6"/>
        <v>0.33333333333333331</v>
      </c>
    </row>
    <row r="30" spans="2:54" ht="18.75" x14ac:dyDescent="0.3">
      <c r="B30" s="43">
        <f t="shared" si="8"/>
        <v>41845</v>
      </c>
      <c r="C30" s="44">
        <f t="shared" si="9"/>
        <v>41845</v>
      </c>
      <c r="D30" s="3"/>
      <c r="E30" s="62"/>
      <c r="F30" s="62"/>
      <c r="G30" s="62"/>
      <c r="H30" s="62"/>
      <c r="I30" s="62" t="str">
        <f t="shared" ca="1" si="0"/>
        <v/>
      </c>
      <c r="J30" s="52">
        <f>IF(AND(Feiertage!$G$2&lt;&gt;"ja",AV30=1),IF(AZ30&gt;0,BB30+AZ30,BB30),IF(AZ30=0,0, IF(I30&lt;&gt;"",AZ30-I30,AZ30)))+AX30</f>
        <v>0</v>
      </c>
      <c r="K30" s="62">
        <f>IF(AV30=0,BB30,IF(Feiertage!$G$2="ja","00:00",BB30))</f>
        <v>0.33333333333333331</v>
      </c>
      <c r="L30" s="52">
        <f t="shared" ca="1" si="11"/>
        <v>-0.33333333333333331</v>
      </c>
      <c r="M30" s="50" t="str">
        <f>IF(AV30=1,AU30,IF(LOWER(AW30)=LOWER(Urlaub!$W$19),Urlaub!$S$19,
IF(LOWER(AW30)=LOWER(Urlaub!$W$20),Urlaub!$S$20,
IF(LOWER(AW30)=LOWER(Urlaub!$W$21),Urlaub!$S$21,
IF(LOWER(AW30)=LOWER(Urlaub!$W$22),Urlaub!$S$22,
IF(LOWER(AW30)=LOWER(Urlaub!$W$23),Urlaub!$S$23,
IF(LOWER(AW30)=LOWER(Urlaub!$W$24),Urlaub!$S$24,""))))))&amp;IF(AND(EXACT(LOWER(AW30),AW30),AW30&lt;&gt;0)," 1/2",""))</f>
        <v/>
      </c>
      <c r="N30" s="53">
        <f t="shared" si="2"/>
        <v>0</v>
      </c>
      <c r="AU30" t="str">
        <f>IF(AV30=1,VLOOKUP($B30,Feiertage!$B$2:$D$49,3,FALSE),"")</f>
        <v/>
      </c>
      <c r="AV30">
        <f>IF(IFERROR(MATCH($B30,Feiertage!$B$2:$B$49,0)&gt;0,0),1,0)</f>
        <v>0</v>
      </c>
      <c r="AW30" s="22">
        <f>IFERROR(HLOOKUP(DAY(B30),Urlaub!$C$4:$AG$16,MONTH(B30)+1,FALSE),0)</f>
        <v>0</v>
      </c>
      <c r="AX30" s="38">
        <f t="shared" si="10"/>
        <v>0</v>
      </c>
      <c r="AY30" s="7">
        <f t="shared" si="4"/>
        <v>2.0833333333333301E-2</v>
      </c>
      <c r="AZ30" s="5">
        <f t="shared" si="5"/>
        <v>0</v>
      </c>
      <c r="BA30" s="39">
        <f t="shared" si="7"/>
        <v>0</v>
      </c>
      <c r="BB30" s="5">
        <f t="shared" si="6"/>
        <v>0.33333333333333331</v>
      </c>
    </row>
    <row r="31" spans="2:54" ht="18.75" x14ac:dyDescent="0.3">
      <c r="B31" s="43">
        <f t="shared" si="8"/>
        <v>41846</v>
      </c>
      <c r="C31" s="44">
        <f t="shared" si="9"/>
        <v>41846</v>
      </c>
      <c r="D31" s="3"/>
      <c r="E31" s="62"/>
      <c r="F31" s="62"/>
      <c r="G31" s="62"/>
      <c r="H31" s="62"/>
      <c r="I31" s="62" t="str">
        <f t="shared" ca="1" si="0"/>
        <v/>
      </c>
      <c r="J31" s="52">
        <f>IF(AND(Feiertage!$G$2&lt;&gt;"ja",AV31=1),IF(AZ31&gt;0,BB31+AZ31,BB31),IF(AZ31=0,0, IF(I31&lt;&gt;"",AZ31-I31,AZ31)))+AX31</f>
        <v>0</v>
      </c>
      <c r="K31" s="62">
        <f>IF(AV31=0,BB31,IF(Feiertage!$G$2="ja","00:00",BB31))</f>
        <v>0.33333333333333331</v>
      </c>
      <c r="L31" s="52">
        <f t="shared" ca="1" si="11"/>
        <v>-0.33333333333333331</v>
      </c>
      <c r="M31" s="50" t="str">
        <f>IF(AV31=1,AU31,IF(LOWER(AW31)=LOWER(Urlaub!$W$19),Urlaub!$S$19,
IF(LOWER(AW31)=LOWER(Urlaub!$W$20),Urlaub!$S$20,
IF(LOWER(AW31)=LOWER(Urlaub!$W$21),Urlaub!$S$21,
IF(LOWER(AW31)=LOWER(Urlaub!$W$22),Urlaub!$S$22,
IF(LOWER(AW31)=LOWER(Urlaub!$W$23),Urlaub!$S$23,
IF(LOWER(AW31)=LOWER(Urlaub!$W$24),Urlaub!$S$24,""))))))&amp;IF(AND(EXACT(LOWER(AW31),AW31),AW31&lt;&gt;0)," 1/2",""))</f>
        <v/>
      </c>
      <c r="N31" s="53">
        <f t="shared" si="2"/>
        <v>0</v>
      </c>
      <c r="AU31" t="str">
        <f>IF(AV31=1,VLOOKUP($B31,Feiertage!$B$2:$D$49,3,FALSE),"")</f>
        <v/>
      </c>
      <c r="AV31">
        <f>IF(IFERROR(MATCH($B31,Feiertage!$B$2:$B$49,0)&gt;0,0),1,0)</f>
        <v>0</v>
      </c>
      <c r="AW31" s="22">
        <f>IFERROR(HLOOKUP(DAY(B31),Urlaub!$C$4:$AG$16,MONTH(B31)+1,FALSE),0)</f>
        <v>0</v>
      </c>
      <c r="AX31" s="38">
        <f t="shared" si="10"/>
        <v>0</v>
      </c>
      <c r="AY31" s="7">
        <f t="shared" si="4"/>
        <v>2.0833333333333301E-2</v>
      </c>
      <c r="AZ31" s="5">
        <f t="shared" si="5"/>
        <v>0</v>
      </c>
      <c r="BA31" s="39">
        <f t="shared" si="7"/>
        <v>0</v>
      </c>
      <c r="BB31" s="5">
        <f t="shared" si="6"/>
        <v>0.33333333333333331</v>
      </c>
    </row>
    <row r="32" spans="2:54" ht="18.75" x14ac:dyDescent="0.3">
      <c r="B32" s="43">
        <f t="shared" si="8"/>
        <v>41847</v>
      </c>
      <c r="C32" s="44">
        <f t="shared" si="9"/>
        <v>41847</v>
      </c>
      <c r="D32" s="3"/>
      <c r="E32" s="62"/>
      <c r="F32" s="62"/>
      <c r="G32" s="62"/>
      <c r="H32" s="62"/>
      <c r="I32" s="62" t="str">
        <f t="shared" ca="1" si="0"/>
        <v/>
      </c>
      <c r="J32" s="52">
        <f>IF(AND(Feiertage!$G$2&lt;&gt;"ja",AV32=1),IF(AZ32&gt;0,BB32+AZ32,BB32),IF(AZ32=0,0, IF(I32&lt;&gt;"",AZ32-I32,AZ32)))+AX32</f>
        <v>0</v>
      </c>
      <c r="K32" s="62">
        <f>IF(AV32=0,BB32,IF(Feiertage!$G$2="ja","00:00",BB32))</f>
        <v>0</v>
      </c>
      <c r="L32" s="52" t="str">
        <f t="shared" ca="1" si="11"/>
        <v/>
      </c>
      <c r="M32" s="50" t="str">
        <f>IF(AV32=1,AU32,IF(LOWER(AW32)=LOWER(Urlaub!$W$19),Urlaub!$S$19,
IF(LOWER(AW32)=LOWER(Urlaub!$W$20),Urlaub!$S$20,
IF(LOWER(AW32)=LOWER(Urlaub!$W$21),Urlaub!$S$21,
IF(LOWER(AW32)=LOWER(Urlaub!$W$22),Urlaub!$S$22,
IF(LOWER(AW32)=LOWER(Urlaub!$W$23),Urlaub!$S$23,
IF(LOWER(AW32)=LOWER(Urlaub!$W$24),Urlaub!$S$24,""))))))&amp;IF(AND(EXACT(LOWER(AW32),AW32),AW32&lt;&gt;0)," 1/2",""))</f>
        <v/>
      </c>
      <c r="N32" s="53">
        <f t="shared" si="2"/>
        <v>0</v>
      </c>
      <c r="AU32" t="str">
        <f>IF(AV32=1,VLOOKUP($B32,Feiertage!$B$2:$D$49,3,FALSE),"")</f>
        <v/>
      </c>
      <c r="AV32">
        <f>IF(IFERROR(MATCH($B32,Feiertage!$B$2:$B$49,0)&gt;0,0),1,0)</f>
        <v>0</v>
      </c>
      <c r="AW32" s="22">
        <f>IFERROR(HLOOKUP(DAY(B32),Urlaub!$C$4:$AG$16,MONTH(B32)+1,FALSE),0)</f>
        <v>0</v>
      </c>
      <c r="AX32" s="38">
        <f t="shared" si="10"/>
        <v>0</v>
      </c>
      <c r="AY32" s="7">
        <f t="shared" si="4"/>
        <v>2.0833333333333301E-2</v>
      </c>
      <c r="AZ32" s="5">
        <f t="shared" si="5"/>
        <v>0</v>
      </c>
      <c r="BA32" s="39">
        <f t="shared" si="7"/>
        <v>0</v>
      </c>
      <c r="BB32" s="5">
        <f t="shared" si="6"/>
        <v>0</v>
      </c>
    </row>
    <row r="33" spans="2:54" ht="18.75" x14ac:dyDescent="0.3">
      <c r="B33" s="43">
        <f>IF(B32&lt;&gt;"",IF(MONTH($B$1)&lt;MONTH(B32+1),"",B32+1),"")</f>
        <v>41848</v>
      </c>
      <c r="C33" s="44">
        <f t="shared" si="9"/>
        <v>41848</v>
      </c>
      <c r="D33" s="3"/>
      <c r="E33" s="62"/>
      <c r="F33" s="62"/>
      <c r="G33" s="62"/>
      <c r="H33" s="62"/>
      <c r="I33" s="62" t="str">
        <f t="shared" ca="1" si="0"/>
        <v/>
      </c>
      <c r="J33" s="52">
        <f>IF(B33&lt;&gt;"",IF(AND(Feiertage!$G$2&lt;&gt;"ja",AV33=1),IF(AZ33&gt;0,BB33+AZ33,BB33),IF(AZ33=0,0, IF(I33&lt;&gt;"",AZ33-I33,AZ33)))+AX33,"")</f>
        <v>0</v>
      </c>
      <c r="K33" s="62">
        <f>IF(B33&lt;&gt;"",IF(AV33=0,BB33,IF(Feiertage!$G$2="ja","00:00",BB33)),"")</f>
        <v>0</v>
      </c>
      <c r="L33" s="52" t="str">
        <f t="shared" ca="1" si="11"/>
        <v/>
      </c>
      <c r="M33" s="50" t="str">
        <f>IF(AV33=1,AU33,IF(LOWER(AW33)=LOWER(Urlaub!$W$19),Urlaub!$S$19,
IF(LOWER(AW33)=LOWER(Urlaub!$W$20),Urlaub!$S$20,
IF(LOWER(AW33)=LOWER(Urlaub!$W$21),Urlaub!$S$21,
IF(LOWER(AW33)=LOWER(Urlaub!$W$22),Urlaub!$S$22,
IF(LOWER(AW33)=LOWER(Urlaub!$W$23),Urlaub!$S$23,
IF(LOWER(AW33)=LOWER(Urlaub!$W$24),Urlaub!$S$24,""))))))&amp;IF(AND(EXACT(LOWER(AW33),AW33),AW33&lt;&gt;0)," 1/2",""))</f>
        <v/>
      </c>
      <c r="N33" s="53">
        <f>IF(J33&lt;&gt;"",24*J33*IF(WEEKDAY(C33)=WEEKDAY($P$6),$S$6,
IF(WEEKDAY(C33)=WEEKDAY($P$7),$S$7,
IF(WEEKDAY(C33)=WEEKDAY($P$8),$S$8,
IF(WEEKDAY(C33)=WEEKDAY($P$9),$S$9,
IF(WEEKDAY(C33)=WEEKDAY($P$10),$S$10,
IF(WEEKDAY(C33)=WEEKDAY($P$11),$S$11,
IF(WEEKDAY(C33)=WEEKDAY($P$12),$S$12,""))))))),"")</f>
        <v>0</v>
      </c>
      <c r="AU33" t="str">
        <f>IF(AV33=1,VLOOKUP($B33,Feiertage!$B$2:$D$49,3,FALSE),"")</f>
        <v/>
      </c>
      <c r="AV33">
        <f>IF(IFERROR(MATCH($B33,Feiertage!$B$2:$B$49,0)&gt;0,0),1,0)</f>
        <v>0</v>
      </c>
      <c r="AW33" s="22">
        <f>IFERROR(HLOOKUP(DAY(B33),Urlaub!$C$4:$AG$16,MONTH(B33)+1,FALSE),0)</f>
        <v>0</v>
      </c>
      <c r="AX33" s="38">
        <f t="shared" si="10"/>
        <v>0</v>
      </c>
      <c r="AY33" s="7">
        <f t="shared" si="4"/>
        <v>2.0833333333333301E-2</v>
      </c>
      <c r="AZ33" s="5">
        <f t="shared" si="5"/>
        <v>0</v>
      </c>
      <c r="BA33" s="39">
        <f t="shared" si="7"/>
        <v>0</v>
      </c>
      <c r="BB33" s="5">
        <f t="shared" si="6"/>
        <v>0</v>
      </c>
    </row>
    <row r="34" spans="2:54" ht="18.75" x14ac:dyDescent="0.3">
      <c r="B34" s="43">
        <f t="shared" ref="B34:B35" si="12">IF(B33&lt;&gt;"",IF(MONTH($B$1)&lt;MONTH(B33+1),"",B33+1),"")</f>
        <v>41849</v>
      </c>
      <c r="C34" s="44">
        <f t="shared" si="9"/>
        <v>41849</v>
      </c>
      <c r="D34" s="3"/>
      <c r="E34" s="62"/>
      <c r="F34" s="62"/>
      <c r="G34" s="62"/>
      <c r="H34" s="62"/>
      <c r="I34" s="62" t="str">
        <f t="shared" ca="1" si="0"/>
        <v/>
      </c>
      <c r="J34" s="52">
        <f>IF(B34&lt;&gt;"",IF(AND(Feiertage!$G$2&lt;&gt;"ja",AV34=1),IF(AZ34&gt;0,BB34+AZ34,BB34),IF(AZ34=0,0, IF(I34&lt;&gt;"",AZ34-I34,AZ34)))+AX34,"")</f>
        <v>0</v>
      </c>
      <c r="K34" s="62">
        <f>IF(B34&lt;&gt;"",IF(AV34=0,BB34,IF(Feiertage!$G$2="ja","00:00",BB34)),"")</f>
        <v>0.33333333333333331</v>
      </c>
      <c r="L34" s="52">
        <f t="shared" ca="1" si="11"/>
        <v>-0.33333333333333331</v>
      </c>
      <c r="M34" s="50" t="str">
        <f>IF(AV34=1,AU34,IF(LOWER(AW34)=LOWER(Urlaub!$W$19),Urlaub!$S$19,
IF(LOWER(AW34)=LOWER(Urlaub!$W$20),Urlaub!$S$20,
IF(LOWER(AW34)=LOWER(Urlaub!$W$21),Urlaub!$S$21,
IF(LOWER(AW34)=LOWER(Urlaub!$W$22),Urlaub!$S$22,
IF(LOWER(AW34)=LOWER(Urlaub!$W$23),Urlaub!$S$23,
IF(LOWER(AW34)=LOWER(Urlaub!$W$24),Urlaub!$S$24,""))))))&amp;IF(AND(EXACT(LOWER(AW34),AW34),AW34&lt;&gt;0)," 1/2",""))</f>
        <v/>
      </c>
      <c r="N34" s="53">
        <f>IF(J34&lt;&gt;"",24*J34*IF(WEEKDAY(C34)=WEEKDAY($P$6),$S$6,
IF(WEEKDAY(C34)=WEEKDAY($P$7),$S$7,
IF(WEEKDAY(C34)=WEEKDAY($P$8),$S$8,
IF(WEEKDAY(C34)=WEEKDAY($P$9),$S$9,
IF(WEEKDAY(C34)=WEEKDAY($P$10),$S$10,
IF(WEEKDAY(C34)=WEEKDAY($P$11),$S$11,
IF(WEEKDAY(C34)=WEEKDAY($P$12),$S$12,""))))))),"")</f>
        <v>0</v>
      </c>
      <c r="AU34" t="str">
        <f>IF(AV34=1,VLOOKUP($B34,Feiertage!$B$2:$D$49,3,FALSE),"")</f>
        <v/>
      </c>
      <c r="AV34">
        <f>IF(IFERROR(MATCH($B34,Feiertage!$B$2:$B$49,0)&gt;0,0),1,0)</f>
        <v>0</v>
      </c>
      <c r="AW34" s="22">
        <f>IFERROR(HLOOKUP(DAY(B34),Urlaub!$C$4:$AG$16,MONTH(B34)+1,FALSE),0)</f>
        <v>0</v>
      </c>
      <c r="AX34" s="38">
        <f t="shared" si="10"/>
        <v>0</v>
      </c>
      <c r="AY34" s="7">
        <f t="shared" si="4"/>
        <v>2.0833333333333332E-2</v>
      </c>
      <c r="AZ34" s="5">
        <f t="shared" si="5"/>
        <v>0</v>
      </c>
      <c r="BA34" s="39">
        <f t="shared" si="7"/>
        <v>0</v>
      </c>
      <c r="BB34" s="5">
        <f t="shared" si="6"/>
        <v>0.33333333333333331</v>
      </c>
    </row>
    <row r="35" spans="2:54" ht="19.5" thickBot="1" x14ac:dyDescent="0.35">
      <c r="B35" s="70">
        <f t="shared" si="12"/>
        <v>41850</v>
      </c>
      <c r="C35" s="71">
        <f t="shared" si="9"/>
        <v>41850</v>
      </c>
      <c r="D35" s="72"/>
      <c r="E35" s="73"/>
      <c r="F35" s="73"/>
      <c r="G35" s="73"/>
      <c r="H35" s="74"/>
      <c r="I35" s="74" t="str">
        <f t="shared" ca="1" si="0"/>
        <v/>
      </c>
      <c r="J35" s="76">
        <f>IF(B35&lt;&gt;"",IF(AND(Feiertage!$G$2&lt;&gt;"ja",AV35=1),IF(AZ35&gt;0,BB35+AZ35,BB35),IF(AZ35=0,0, IF(I35&lt;&gt;"",AZ35-I35,AZ35)))+AX35,"")</f>
        <v>0</v>
      </c>
      <c r="K35" s="73">
        <f>IF(B35&lt;&gt;"",IF(AV35=0,BB35,IF(Feiertage!$G$2="ja","00:00",BB35)),"")</f>
        <v>0.33333333333333331</v>
      </c>
      <c r="L35" s="52">
        <f t="shared" ca="1" si="11"/>
        <v>-0.33333333333333331</v>
      </c>
      <c r="M35" s="50" t="str">
        <f>IF(AV35=1,AU35,IF(LOWER(AW35)=LOWER(Urlaub!$W$19),Urlaub!$S$19,
IF(LOWER(AW35)=LOWER(Urlaub!$W$20),Urlaub!$S$20,
IF(LOWER(AW35)=LOWER(Urlaub!$W$21),Urlaub!$S$21,
IF(LOWER(AW35)=LOWER(Urlaub!$W$22),Urlaub!$S$22,
IF(LOWER(AW35)=LOWER(Urlaub!$W$23),Urlaub!$S$23,
IF(LOWER(AW35)=LOWER(Urlaub!$W$24),Urlaub!$S$24,""))))))&amp;IF(AND(EXACT(LOWER(AW35),AW35),AW35&lt;&gt;0)," 1/2",""))</f>
        <v/>
      </c>
      <c r="N35" s="77">
        <f>IF(J35&lt;&gt;"",24*J35*IF(WEEKDAY(C35)=WEEKDAY($P$6),$S$6,
IF(WEEKDAY(C35)=WEEKDAY($P$7),$S$7,
IF(WEEKDAY(C35)=WEEKDAY($P$8),$S$8,
IF(WEEKDAY(C35)=WEEKDAY($P$9),$S$9,
IF(WEEKDAY(C35)=WEEKDAY($P$10),$S$10,
IF(WEEKDAY(C35)=WEEKDAY($P$11),$S$11,
IF(WEEKDAY(C35)=WEEKDAY($P$12),$S$12,""))))))),"")</f>
        <v>0</v>
      </c>
      <c r="AU35" t="str">
        <f>IF(AV35=1,VLOOKUP($B35,Feiertage!$B$2:$D$49,3,FALSE),"")</f>
        <v/>
      </c>
      <c r="AV35">
        <f>IF(IFERROR(MATCH($B35,Feiertage!$B$2:$B$49,0)&gt;0,0),1,0)</f>
        <v>0</v>
      </c>
      <c r="AW35" s="22">
        <f>IFERROR(HLOOKUP(DAY(B35),Urlaub!$C$4:$AG$16,MONTH(B35)+1,FALSE),0)</f>
        <v>0</v>
      </c>
      <c r="AX35" s="38">
        <f t="shared" si="10"/>
        <v>0</v>
      </c>
      <c r="AY35" s="7">
        <f t="shared" si="4"/>
        <v>2.0833333333333332E-2</v>
      </c>
      <c r="AZ35" s="5">
        <f t="shared" si="5"/>
        <v>0</v>
      </c>
      <c r="BA35" s="39">
        <f t="shared" si="7"/>
        <v>0</v>
      </c>
      <c r="BB35" s="5">
        <f t="shared" si="6"/>
        <v>0.33333333333333331</v>
      </c>
    </row>
    <row r="36" spans="2:54" ht="5.25" customHeight="1" thickTop="1" thickBot="1" x14ac:dyDescent="0.3">
      <c r="B36" s="1"/>
      <c r="H36" s="75"/>
      <c r="I36" s="75"/>
      <c r="J36" s="75"/>
      <c r="K36" s="2"/>
      <c r="L36" s="75"/>
    </row>
    <row r="37" spans="2:54" ht="24" thickBot="1" x14ac:dyDescent="0.4">
      <c r="B37" s="139" t="s">
        <v>74</v>
      </c>
      <c r="C37" s="140"/>
      <c r="D37" s="140"/>
      <c r="E37" s="140"/>
      <c r="F37" s="140"/>
      <c r="G37" s="140"/>
      <c r="H37" s="140"/>
      <c r="I37" s="141"/>
      <c r="J37" s="47">
        <f>SUM(J5:J35)</f>
        <v>0</v>
      </c>
      <c r="K37" s="47">
        <f t="shared" ref="K37" si="13">SUM(K5:K35)</f>
        <v>7.3333333333333304</v>
      </c>
      <c r="L37" s="47">
        <f ca="1">SUM(L5:L35)</f>
        <v>-7.3333333333333304</v>
      </c>
      <c r="M37" s="47">
        <f>SUM(AX5:AX35)</f>
        <v>0</v>
      </c>
      <c r="N37" s="48">
        <f t="shared" ref="N37" si="14">SUM(N5:N35)</f>
        <v>0</v>
      </c>
    </row>
    <row r="38" spans="2:54" x14ac:dyDescent="0.25">
      <c r="B38" s="1"/>
    </row>
    <row r="39" spans="2:54" x14ac:dyDescent="0.25">
      <c r="B39" s="1"/>
    </row>
  </sheetData>
  <sheetProtection algorithmName="SHA-512" hashValue="fdJ7OvCW5IJISakFIUsuVMdGATbR6/QIWALl7Cc4TFj4bGwm+xrYwVN/nLEM/rIqJMznp6fLZwwzeS8M/zWCew==" saltValue="+SBjCTTXpmdWMvpGOPzLzQ==" spinCount="100000" sheet="1" selectLockedCells="1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7">
    <mergeCell ref="E3:H3"/>
    <mergeCell ref="B37:I37"/>
    <mergeCell ref="B1:N1"/>
    <mergeCell ref="U4:V4"/>
    <mergeCell ref="P4:S4"/>
    <mergeCell ref="P15:V15"/>
    <mergeCell ref="P16:V18"/>
  </mergeCells>
  <conditionalFormatting sqref="B5:N35">
    <cfRule type="expression" dxfId="27" priority="2" stopIfTrue="1">
      <formula>WEEKDAY($B5,2)&gt;5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FC31490F-9BF4-4FC4-9B09-C8796A350204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B5:N35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B39"/>
  <sheetViews>
    <sheetView showGridLines="0" workbookViewId="0">
      <pane xSplit="4" ySplit="4" topLeftCell="E5" activePane="bottomRight" state="frozen"/>
      <selection activeCell="B1" sqref="B1:N1"/>
      <selection pane="topRight" activeCell="B1" sqref="B1:N1"/>
      <selection pane="bottomLeft" activeCell="B1" sqref="B1:N1"/>
      <selection pane="bottomRight" activeCell="E5" sqref="E5"/>
    </sheetView>
  </sheetViews>
  <sheetFormatPr baseColWidth="10" defaultRowHeight="15" x14ac:dyDescent="0.25"/>
  <cols>
    <col min="1" max="1" width="2.28515625" customWidth="1"/>
    <col min="2" max="2" width="8.85546875" customWidth="1"/>
    <col min="3" max="3" width="7.28515625" customWidth="1"/>
    <col min="4" max="4" width="1" customWidth="1"/>
    <col min="5" max="8" width="7.7109375" customWidth="1"/>
    <col min="9" max="9" width="8" customWidth="1"/>
    <col min="10" max="10" width="12.42578125" customWidth="1"/>
    <col min="11" max="11" width="12.140625" customWidth="1"/>
    <col min="12" max="12" width="12.85546875" customWidth="1"/>
    <col min="13" max="13" width="16.5703125" bestFit="1" customWidth="1"/>
    <col min="14" max="14" width="17.85546875" customWidth="1"/>
    <col min="15" max="15" width="4.28515625" customWidth="1"/>
    <col min="16" max="16" width="18.7109375" customWidth="1"/>
    <col min="17" max="17" width="12.28515625" customWidth="1"/>
    <col min="18" max="18" width="11.140625" customWidth="1"/>
    <col min="19" max="19" width="15.7109375" customWidth="1"/>
    <col min="20" max="20" width="4.140625" customWidth="1"/>
    <col min="21" max="21" width="29.140625" customWidth="1"/>
    <col min="22" max="22" width="16" customWidth="1"/>
    <col min="47" max="55" width="13.7109375" customWidth="1"/>
  </cols>
  <sheetData>
    <row r="1" spans="1:54" ht="24.75" customHeight="1" thickBot="1" x14ac:dyDescent="0.5">
      <c r="A1" s="117">
        <v>41639</v>
      </c>
      <c r="B1" s="142">
        <f>EDATE(Januar!$A$1,7)</f>
        <v>41851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54" s="21" customFormat="1" ht="24.75" customHeight="1" thickBot="1" x14ac:dyDescent="0.5">
      <c r="B2" s="59"/>
      <c r="C2" s="59"/>
      <c r="D2" s="59"/>
      <c r="E2" s="60"/>
      <c r="F2" s="60"/>
      <c r="G2" s="60"/>
      <c r="H2" s="60"/>
      <c r="I2" s="59"/>
      <c r="J2" s="59"/>
      <c r="K2" s="59"/>
      <c r="L2" s="59"/>
      <c r="M2" s="59"/>
      <c r="N2" s="59"/>
    </row>
    <row r="3" spans="1:54" ht="19.5" thickBot="1" x14ac:dyDescent="0.35">
      <c r="B3" s="58"/>
      <c r="C3" s="58"/>
      <c r="D3" s="58"/>
      <c r="E3" s="145" t="s">
        <v>0</v>
      </c>
      <c r="F3" s="146"/>
      <c r="G3" s="146"/>
      <c r="H3" s="147"/>
      <c r="I3" s="58"/>
      <c r="J3" s="58"/>
      <c r="K3" s="58"/>
      <c r="L3" s="58"/>
      <c r="M3" s="58"/>
      <c r="N3" s="58"/>
      <c r="O3" s="2"/>
    </row>
    <row r="4" spans="1:54" ht="19.5" thickBot="1" x14ac:dyDescent="0.35">
      <c r="B4" s="41" t="s">
        <v>4</v>
      </c>
      <c r="C4" s="41" t="s">
        <v>5</v>
      </c>
      <c r="D4" s="42"/>
      <c r="E4" s="41" t="s">
        <v>1</v>
      </c>
      <c r="F4" s="41" t="s">
        <v>2</v>
      </c>
      <c r="G4" s="41" t="s">
        <v>1</v>
      </c>
      <c r="H4" s="41" t="s">
        <v>2</v>
      </c>
      <c r="I4" s="41" t="s">
        <v>3</v>
      </c>
      <c r="J4" s="41" t="s">
        <v>7</v>
      </c>
      <c r="K4" s="41" t="s">
        <v>6</v>
      </c>
      <c r="L4" s="41" t="s">
        <v>11</v>
      </c>
      <c r="M4" s="41" t="s">
        <v>56</v>
      </c>
      <c r="N4" s="41" t="s">
        <v>71</v>
      </c>
      <c r="O4" s="20"/>
      <c r="P4" s="150" t="s">
        <v>10</v>
      </c>
      <c r="Q4" s="151"/>
      <c r="R4" s="151"/>
      <c r="S4" s="152"/>
      <c r="U4" s="148" t="s">
        <v>81</v>
      </c>
      <c r="V4" s="149"/>
      <c r="AU4" s="36" t="s">
        <v>46</v>
      </c>
      <c r="AV4" s="36" t="s">
        <v>46</v>
      </c>
      <c r="AW4" s="37" t="s">
        <v>66</v>
      </c>
      <c r="AX4" s="36" t="s">
        <v>67</v>
      </c>
      <c r="AY4" s="6" t="s">
        <v>3</v>
      </c>
      <c r="AZ4" s="36" t="s">
        <v>7</v>
      </c>
      <c r="BA4" s="36" t="s">
        <v>72</v>
      </c>
      <c r="BB4" s="6" t="s">
        <v>6</v>
      </c>
    </row>
    <row r="5" spans="1:54" ht="21.75" thickBot="1" x14ac:dyDescent="0.4">
      <c r="B5" s="45">
        <f>B1</f>
        <v>41851</v>
      </c>
      <c r="C5" s="46">
        <f>B5</f>
        <v>41851</v>
      </c>
      <c r="D5" s="3"/>
      <c r="E5" s="61"/>
      <c r="F5" s="61"/>
      <c r="G5" s="61"/>
      <c r="H5" s="61"/>
      <c r="I5" s="61" t="str">
        <f t="shared" ref="I5:I35" ca="1" si="0">IF(AZ5=0,"",IF(AY5=0,"",IF(OR(B5&lt;=TODAY(),AZ5),AY5,"")))</f>
        <v/>
      </c>
      <c r="J5" s="49">
        <f>IF(AND(Feiertage!$G$2&lt;&gt;"ja",AV5=1),IF(AZ5&gt;0,BB5+AZ5,BB5),IF(AZ5=0,0, IF(I5&lt;&gt;"",AZ5-I5,AZ5)))+AX5</f>
        <v>0</v>
      </c>
      <c r="K5" s="61">
        <f>IF(AV5=0,BB5,IF(Feiertage!$G$2="ja","00:00",BB5))</f>
        <v>0.33333333333333331</v>
      </c>
      <c r="L5" s="52">
        <f t="shared" ref="L5:L18" ca="1" si="1">IF(OR(B5&lt;=TODAY(),J5,AW5="G"),IF(J5&lt;&gt;"",IF(J5-K5=0,"",J5-K5),IF(K5&lt;&gt;"",-K5,"")),"")</f>
        <v>-0.33333333333333331</v>
      </c>
      <c r="M5" s="50" t="str">
        <f>IF(AV5=1,AU5,IF(LOWER(AW5)=LOWER(Urlaub!$W$19),Urlaub!$S$19,
IF(LOWER(AW5)=LOWER(Urlaub!$W$20),Urlaub!$S$20,
IF(LOWER(AW5)=LOWER(Urlaub!$W$21),Urlaub!$S$21,
IF(LOWER(AW5)=LOWER(Urlaub!$W$22),Urlaub!$S$22,
IF(LOWER(AW5)=LOWER(Urlaub!$W$23),Urlaub!$S$23,
IF(LOWER(AW5)=LOWER(Urlaub!$W$24),Urlaub!$S$24,""))))))&amp;IF(AND(EXACT(LOWER(AW5),AW5),AW5&lt;&gt;0)," 1/2",""))</f>
        <v/>
      </c>
      <c r="N5" s="51">
        <f t="shared" ref="N5:N32" si="2">24*J5*IF(WEEKDAY(C5)=WEEKDAY($P$6),$S$6,
IF(WEEKDAY(C5)=WEEKDAY($P$7),$S$7,
IF(WEEKDAY(C5)=WEEKDAY($P$8),$S$8,
IF(WEEKDAY(C5)=WEEKDAY($P$9),$S$9,
IF(WEEKDAY(C5)=WEEKDAY($P$10),$S$10,
IF(WEEKDAY(C5)=WEEKDAY($P$11),$S$11,
IF(WEEKDAY(C5)=WEEKDAY($P$12),$S$12,"")))))))</f>
        <v>0</v>
      </c>
      <c r="P5" s="41" t="s">
        <v>8</v>
      </c>
      <c r="Q5" s="41" t="s">
        <v>6</v>
      </c>
      <c r="R5" s="41" t="s">
        <v>3</v>
      </c>
      <c r="S5" s="41" t="s">
        <v>70</v>
      </c>
      <c r="U5" s="112" t="str">
        <f xml:space="preserve"> "Übertrag aus " &amp; IF( MONTH(B1)=1, YEAR(B1)-1, TEXT(EDATE(B1,-1),"MMMM"))</f>
        <v>Übertrag aus Juli</v>
      </c>
      <c r="V5" s="130">
        <f ca="1">IF(MONTH(B1)&gt;1,INDIRECT(TEXT(EDATE(B1,-1),"MMMM")&amp;"!v10"),"")</f>
        <v>-48.66666666666665</v>
      </c>
      <c r="AU5" t="str">
        <f>IF(AV5=1,VLOOKUP($B5,Feiertage!$B$2:$D$49,3,FALSE),"")</f>
        <v/>
      </c>
      <c r="AV5">
        <f>IF(IFERROR(MATCH($B5,Feiertage!$B$2:$B$49,0)&gt;0,0),1,0)</f>
        <v>0</v>
      </c>
      <c r="AW5" s="22">
        <f>IFERROR(HLOOKUP(DAY(B5),Urlaub!$C$4:$AG$16,MONTH(B5)+1,FALSE),0)</f>
        <v>0</v>
      </c>
      <c r="AX5" s="38">
        <f t="shared" ref="AX5:AX16" si="3">IFERROR(IF(AW5=0,0,IF(EXACT(LOWER(AW5),AW5),0.5*BB5,BB5)),"")</f>
        <v>0</v>
      </c>
      <c r="AY5" s="7">
        <f t="shared" ref="AY5:AY35" si="4">IFERROR(IF(WEEKDAY(C5)=WEEKDAY($P$6),$R$6,
IF(WEEKDAY(C5)=WEEKDAY($P$7),$R$7,
IF(WEEKDAY(C5)=WEEKDAY($P$8),$R$8,
IF(WEEKDAY(C5)=WEEKDAY($P$9),$R$9,
IF(WEEKDAY(C5)=WEEKDAY($P$10),$R$10,
IF(WEEKDAY(C5)=WEEKDAY($P$11),$R$11,
IF(WEEKDAY(C5)=WEEKDAY($P$12),$R$12,""))))))),"")</f>
        <v>2.0833333333333301E-2</v>
      </c>
      <c r="AZ5" s="5">
        <f t="shared" ref="AZ5:AZ35" si="5">IF(F5,IF(E5,IF(E5&gt;F5,F5+"24:00"-E5,F5-E5),0),0)+IF(G5,IF(G5,IF(G5&gt;H5,H5+"24:00"-G5,H5-G5),0),0)</f>
        <v>0</v>
      </c>
      <c r="BA5" s="39">
        <f>AZ5*24</f>
        <v>0</v>
      </c>
      <c r="BB5" s="5">
        <f t="shared" ref="BB5:BB35" si="6">IFERROR(IF(WEEKDAY(C5)=WEEKDAY($P$6),$Q$6,
IF(WEEKDAY(C5)=WEEKDAY($P$7),$Q$7,
IF(WEEKDAY(C5)=WEEKDAY($P$8),$Q$8,
IF(WEEKDAY(C5)=WEEKDAY($P$9),$Q$9,
IF(WEEKDAY(C5)=WEEKDAY($P$10),$Q$10,
IF(WEEKDAY(C5)=WEEKDAY($P$11),$Q$11,
IF(WEEKDAY(C5)=WEEKDAY($P$12),$Q$12,""))))))),"")</f>
        <v>0.33333333333333331</v>
      </c>
    </row>
    <row r="6" spans="1:54" ht="21" x14ac:dyDescent="0.35">
      <c r="B6" s="43">
        <f>B5+1</f>
        <v>41852</v>
      </c>
      <c r="C6" s="44">
        <f>B6</f>
        <v>41852</v>
      </c>
      <c r="D6" s="3"/>
      <c r="E6" s="62"/>
      <c r="F6" s="62"/>
      <c r="G6" s="62"/>
      <c r="H6" s="62"/>
      <c r="I6" s="62" t="str">
        <f t="shared" ca="1" si="0"/>
        <v/>
      </c>
      <c r="J6" s="52">
        <f>IF(AND(Feiertage!$G$2&lt;&gt;"ja",AV6=1),IF(AZ6&gt;0,BB6+AZ6,BB6),IF(AZ6=0,0, IF(I6&lt;&gt;"",AZ6-I6,AZ6)))+AX6</f>
        <v>0</v>
      </c>
      <c r="K6" s="62">
        <f>IF(AV6=0,BB6,IF(Feiertage!$G$2="ja","00:00",BB6))</f>
        <v>0.33333333333333331</v>
      </c>
      <c r="L6" s="52">
        <f t="shared" ca="1" si="1"/>
        <v>-0.33333333333333331</v>
      </c>
      <c r="M6" s="50" t="str">
        <f>IF(AV6=1,AU6,IF(LOWER(AW6)=LOWER(Urlaub!$W$19),Urlaub!$S$19,
IF(LOWER(AW6)=LOWER(Urlaub!$W$20),Urlaub!$S$20,
IF(LOWER(AW6)=LOWER(Urlaub!$W$21),Urlaub!$S$21,
IF(LOWER(AW6)=LOWER(Urlaub!$W$22),Urlaub!$S$22,
IF(LOWER(AW6)=LOWER(Urlaub!$W$23),Urlaub!$S$23,
IF(LOWER(AW6)=LOWER(Urlaub!$W$24),Urlaub!$S$24,""))))))&amp;IF(AND(EXACT(LOWER(AW6),AW6),AW6&lt;&gt;0)," 1/2",""))</f>
        <v/>
      </c>
      <c r="N6" s="53">
        <f t="shared" si="2"/>
        <v>0</v>
      </c>
      <c r="P6" s="54">
        <v>41639</v>
      </c>
      <c r="Q6" s="63">
        <v>0.33333333333333331</v>
      </c>
      <c r="R6" s="63">
        <v>2.0833333333333332E-2</v>
      </c>
      <c r="S6" s="64"/>
      <c r="U6" s="114" t="s">
        <v>6</v>
      </c>
      <c r="V6" s="113">
        <f>SUM(K5:K35)</f>
        <v>7.6666666666666634</v>
      </c>
      <c r="AU6" t="str">
        <f>IF(AV6=1,VLOOKUP($B6,Feiertage!$B$2:$D$49,3,FALSE),"")</f>
        <v/>
      </c>
      <c r="AV6">
        <f>IF(IFERROR(MATCH($B6,Feiertage!$B$2:$B$49,0)&gt;0,0),1,0)</f>
        <v>0</v>
      </c>
      <c r="AW6" s="22">
        <f>IFERROR(HLOOKUP(DAY(B6),Urlaub!$C$4:$AG$16,MONTH(B6)+1,FALSE),0)</f>
        <v>0</v>
      </c>
      <c r="AX6" s="38">
        <f t="shared" si="3"/>
        <v>0</v>
      </c>
      <c r="AY6" s="7">
        <f t="shared" si="4"/>
        <v>2.0833333333333301E-2</v>
      </c>
      <c r="AZ6" s="5">
        <f t="shared" si="5"/>
        <v>0</v>
      </c>
      <c r="BA6" s="39">
        <f t="shared" ref="BA6:BA35" si="7">AZ6*24</f>
        <v>0</v>
      </c>
      <c r="BB6" s="5">
        <f t="shared" si="6"/>
        <v>0.33333333333333331</v>
      </c>
    </row>
    <row r="7" spans="1:54" ht="21" x14ac:dyDescent="0.35">
      <c r="B7" s="43">
        <f t="shared" ref="B7:B32" si="8">B6+1</f>
        <v>41853</v>
      </c>
      <c r="C7" s="44">
        <f t="shared" ref="C7:C35" si="9">B7</f>
        <v>41853</v>
      </c>
      <c r="D7" s="3"/>
      <c r="E7" s="62"/>
      <c r="F7" s="62"/>
      <c r="G7" s="62"/>
      <c r="H7" s="62"/>
      <c r="I7" s="62" t="str">
        <f t="shared" ca="1" si="0"/>
        <v/>
      </c>
      <c r="J7" s="52">
        <f>IF(AND(Feiertage!$G$2&lt;&gt;"ja",AV7=1),IF(AZ7&gt;0,BB7+AZ7,BB7),IF(AZ7=0,0, IF(I7&lt;&gt;"",AZ7-I7,AZ7)))+AX7</f>
        <v>0</v>
      </c>
      <c r="K7" s="62">
        <f>IF(AV7=0,BB7,IF(Feiertage!$G$2="ja","00:00",BB7))</f>
        <v>0.33333333333333331</v>
      </c>
      <c r="L7" s="52">
        <f t="shared" ca="1" si="1"/>
        <v>-0.33333333333333331</v>
      </c>
      <c r="M7" s="50" t="str">
        <f>IF(AV7=1,AU7,IF(LOWER(AW7)=LOWER(Urlaub!$W$19),Urlaub!$S$19,
IF(LOWER(AW7)=LOWER(Urlaub!$W$20),Urlaub!$S$20,
IF(LOWER(AW7)=LOWER(Urlaub!$W$21),Urlaub!$S$21,
IF(LOWER(AW7)=LOWER(Urlaub!$W$22),Urlaub!$S$22,
IF(LOWER(AW7)=LOWER(Urlaub!$W$23),Urlaub!$S$23,
IF(LOWER(AW7)=LOWER(Urlaub!$W$24),Urlaub!$S$24,""))))))&amp;IF(AND(EXACT(LOWER(AW7),AW7),AW7&lt;&gt;0)," 1/2",""))</f>
        <v/>
      </c>
      <c r="N7" s="53">
        <f t="shared" si="2"/>
        <v>0</v>
      </c>
      <c r="P7" s="55">
        <v>41640</v>
      </c>
      <c r="Q7" s="65">
        <v>0.33333333333333331</v>
      </c>
      <c r="R7" s="63">
        <v>2.0833333333333332E-2</v>
      </c>
      <c r="S7" s="66"/>
      <c r="U7" s="114" t="s">
        <v>7</v>
      </c>
      <c r="V7" s="113">
        <f>SUM(J5:J35)</f>
        <v>0</v>
      </c>
      <c r="AU7" t="str">
        <f>IF(AV7=1,VLOOKUP($B7,Feiertage!$B$2:$D$49,3,FALSE),"")</f>
        <v/>
      </c>
      <c r="AV7">
        <f>IF(IFERROR(MATCH($B7,Feiertage!$B$2:$B$49,0)&gt;0,0),1,0)</f>
        <v>0</v>
      </c>
      <c r="AW7" s="22">
        <f>IFERROR(HLOOKUP(DAY(B7),Urlaub!$C$4:$AG$16,MONTH(B7)+1,FALSE),0)</f>
        <v>0</v>
      </c>
      <c r="AX7" s="38">
        <f t="shared" si="3"/>
        <v>0</v>
      </c>
      <c r="AY7" s="7">
        <f t="shared" si="4"/>
        <v>2.0833333333333301E-2</v>
      </c>
      <c r="AZ7" s="5">
        <f t="shared" si="5"/>
        <v>0</v>
      </c>
      <c r="BA7" s="39">
        <f t="shared" si="7"/>
        <v>0</v>
      </c>
      <c r="BB7" s="5">
        <f t="shared" si="6"/>
        <v>0.33333333333333331</v>
      </c>
    </row>
    <row r="8" spans="1:54" ht="21" x14ac:dyDescent="0.35">
      <c r="B8" s="43">
        <f t="shared" si="8"/>
        <v>41854</v>
      </c>
      <c r="C8" s="44">
        <f t="shared" si="9"/>
        <v>41854</v>
      </c>
      <c r="D8" s="3"/>
      <c r="E8" s="62"/>
      <c r="F8" s="62"/>
      <c r="G8" s="62"/>
      <c r="H8" s="62"/>
      <c r="I8" s="62" t="str">
        <f t="shared" ca="1" si="0"/>
        <v/>
      </c>
      <c r="J8" s="52">
        <f>IF(AND(Feiertage!$G$2&lt;&gt;"ja",AV8=1),IF(AZ8&gt;0,BB8+AZ8,BB8),IF(AZ8=0,0, IF(I8&lt;&gt;"",AZ8-I8,AZ8)))+AX8</f>
        <v>0</v>
      </c>
      <c r="K8" s="62">
        <f>IF(AV8=0,BB8,IF(Feiertage!$G$2="ja","00:00",BB8))</f>
        <v>0</v>
      </c>
      <c r="L8" s="52" t="str">
        <f t="shared" ca="1" si="1"/>
        <v/>
      </c>
      <c r="M8" s="50" t="str">
        <f>IF(AV8=1,AU8,IF(LOWER(AW8)=LOWER(Urlaub!$W$19),Urlaub!$S$19,
IF(LOWER(AW8)=LOWER(Urlaub!$W$20),Urlaub!$S$20,
IF(LOWER(AW8)=LOWER(Urlaub!$W$21),Urlaub!$S$21,
IF(LOWER(AW8)=LOWER(Urlaub!$W$22),Urlaub!$S$22,
IF(LOWER(AW8)=LOWER(Urlaub!$W$23),Urlaub!$S$23,
IF(LOWER(AW8)=LOWER(Urlaub!$W$24),Urlaub!$S$24,""))))))&amp;IF(AND(EXACT(LOWER(AW8),AW8),AW8&lt;&gt;0)," 1/2",""))</f>
        <v/>
      </c>
      <c r="N8" s="53">
        <f t="shared" si="2"/>
        <v>0</v>
      </c>
      <c r="P8" s="55">
        <v>41641</v>
      </c>
      <c r="Q8" s="65">
        <v>0.33333333333333331</v>
      </c>
      <c r="R8" s="63">
        <v>2.0833333333333301E-2</v>
      </c>
      <c r="S8" s="66"/>
      <c r="U8" s="115" t="str">
        <f xml:space="preserve"> "Saldo " &amp; TEXT(B1,"MMMM")</f>
        <v>Saldo August</v>
      </c>
      <c r="V8" s="132">
        <f ca="1">SUM(L5:L35)</f>
        <v>-2.333333333333333</v>
      </c>
      <c r="AU8" t="str">
        <f>IF(AV8=1,VLOOKUP($B8,Feiertage!$B$2:$D$49,3,FALSE),"")</f>
        <v/>
      </c>
      <c r="AV8">
        <f>IF(IFERROR(MATCH($B8,Feiertage!$B$2:$B$49,0)&gt;0,0),1,0)</f>
        <v>0</v>
      </c>
      <c r="AW8" s="22">
        <f>IFERROR(HLOOKUP(DAY(B8),Urlaub!$C$4:$AG$16,MONTH(B8)+1,FALSE),0)</f>
        <v>0</v>
      </c>
      <c r="AX8" s="38">
        <f t="shared" si="3"/>
        <v>0</v>
      </c>
      <c r="AY8" s="7">
        <f t="shared" si="4"/>
        <v>2.0833333333333301E-2</v>
      </c>
      <c r="AZ8" s="5">
        <f t="shared" si="5"/>
        <v>0</v>
      </c>
      <c r="BA8" s="39">
        <f t="shared" si="7"/>
        <v>0</v>
      </c>
      <c r="BB8" s="5">
        <f t="shared" si="6"/>
        <v>0</v>
      </c>
    </row>
    <row r="9" spans="1:54" ht="18.75" x14ac:dyDescent="0.3">
      <c r="B9" s="43">
        <f t="shared" si="8"/>
        <v>41855</v>
      </c>
      <c r="C9" s="44">
        <f t="shared" si="9"/>
        <v>41855</v>
      </c>
      <c r="D9" s="3"/>
      <c r="E9" s="62"/>
      <c r="F9" s="62"/>
      <c r="G9" s="62"/>
      <c r="H9" s="62"/>
      <c r="I9" s="62" t="str">
        <f t="shared" ca="1" si="0"/>
        <v/>
      </c>
      <c r="J9" s="52">
        <f>IF(AND(Feiertage!$G$2&lt;&gt;"ja",AV9=1),IF(AZ9&gt;0,BB9+AZ9,BB9),IF(AZ9=0,0, IF(I9&lt;&gt;"",AZ9-I9,AZ9)))+AX9</f>
        <v>0</v>
      </c>
      <c r="K9" s="62">
        <f>IF(AV9=0,BB9,IF(Feiertage!$G$2="ja","00:00",BB9))</f>
        <v>0</v>
      </c>
      <c r="L9" s="52" t="str">
        <f t="shared" ca="1" si="1"/>
        <v/>
      </c>
      <c r="M9" s="50" t="str">
        <f>IF(AV9=1,AU9,IF(LOWER(AW9)=LOWER(Urlaub!$W$19),Urlaub!$S$19,
IF(LOWER(AW9)=LOWER(Urlaub!$W$20),Urlaub!$S$20,
IF(LOWER(AW9)=LOWER(Urlaub!$W$21),Urlaub!$S$21,
IF(LOWER(AW9)=LOWER(Urlaub!$W$22),Urlaub!$S$22,
IF(LOWER(AW9)=LOWER(Urlaub!$W$23),Urlaub!$S$23,
IF(LOWER(AW9)=LOWER(Urlaub!$W$24),Urlaub!$S$24,""))))))&amp;IF(AND(EXACT(LOWER(AW9),AW9),AW9&lt;&gt;0)," 1/2",""))</f>
        <v/>
      </c>
      <c r="N9" s="53">
        <f t="shared" si="2"/>
        <v>0</v>
      </c>
      <c r="P9" s="55">
        <v>41642</v>
      </c>
      <c r="Q9" s="65">
        <v>0.33333333333333331</v>
      </c>
      <c r="R9" s="63">
        <v>2.0833333333333301E-2</v>
      </c>
      <c r="S9" s="66"/>
      <c r="U9" s="131" t="s">
        <v>85</v>
      </c>
      <c r="V9" s="134"/>
      <c r="AU9" t="str">
        <f>IF(AV9=1,VLOOKUP($B9,Feiertage!$B$2:$D$49,3,FALSE),"")</f>
        <v/>
      </c>
      <c r="AV9">
        <f>IF(IFERROR(MATCH($B9,Feiertage!$B$2:$B$49,0)&gt;0,0),1,0)</f>
        <v>0</v>
      </c>
      <c r="AW9" s="22">
        <f>IFERROR(HLOOKUP(DAY(B9),Urlaub!$C$4:$AG$16,MONTH(B9)+1,FALSE),0)</f>
        <v>0</v>
      </c>
      <c r="AX9" s="38">
        <f t="shared" si="3"/>
        <v>0</v>
      </c>
      <c r="AY9" s="7">
        <f t="shared" si="4"/>
        <v>2.0833333333333301E-2</v>
      </c>
      <c r="AZ9" s="5">
        <f t="shared" si="5"/>
        <v>0</v>
      </c>
      <c r="BA9" s="39">
        <f t="shared" si="7"/>
        <v>0</v>
      </c>
      <c r="BB9" s="5">
        <f t="shared" si="6"/>
        <v>0</v>
      </c>
    </row>
    <row r="10" spans="1:54" ht="21.75" thickBot="1" x14ac:dyDescent="0.4">
      <c r="B10" s="43">
        <f t="shared" si="8"/>
        <v>41856</v>
      </c>
      <c r="C10" s="44">
        <f t="shared" si="9"/>
        <v>41856</v>
      </c>
      <c r="D10" s="3"/>
      <c r="E10" s="62"/>
      <c r="F10" s="62"/>
      <c r="G10" s="62"/>
      <c r="H10" s="62"/>
      <c r="I10" s="62" t="str">
        <f t="shared" ca="1" si="0"/>
        <v/>
      </c>
      <c r="J10" s="52">
        <f>IF(AND(Feiertage!$G$2&lt;&gt;"ja",AV10=1),IF(AZ10&gt;0,BB10+AZ10,BB10),IF(AZ10=0,0, IF(I10&lt;&gt;"",AZ10-I10,AZ10)))+AX10</f>
        <v>0</v>
      </c>
      <c r="K10" s="62">
        <f>IF(AV10=0,BB10,IF(Feiertage!$G$2="ja","00:00",BB10))</f>
        <v>0.33333333333333331</v>
      </c>
      <c r="L10" s="52">
        <f t="shared" ca="1" si="1"/>
        <v>-0.33333333333333331</v>
      </c>
      <c r="M10" s="50" t="str">
        <f>IF(AV10=1,AU10,IF(LOWER(AW10)=LOWER(Urlaub!$W$19),Urlaub!$S$19,
IF(LOWER(AW10)=LOWER(Urlaub!$W$20),Urlaub!$S$20,
IF(LOWER(AW10)=LOWER(Urlaub!$W$21),Urlaub!$S$21,
IF(LOWER(AW10)=LOWER(Urlaub!$W$22),Urlaub!$S$22,
IF(LOWER(AW10)=LOWER(Urlaub!$W$23),Urlaub!$S$23,
IF(LOWER(AW10)=LOWER(Urlaub!$W$24),Urlaub!$S$24,""))))))&amp;IF(AND(EXACT(LOWER(AW10),AW10),AW10&lt;&gt;0)," 1/2",""))</f>
        <v/>
      </c>
      <c r="N10" s="53">
        <f t="shared" si="2"/>
        <v>0</v>
      </c>
      <c r="P10" s="55">
        <v>41643</v>
      </c>
      <c r="Q10" s="65">
        <v>0.33333333333333331</v>
      </c>
      <c r="R10" s="63">
        <v>2.0833333333333301E-2</v>
      </c>
      <c r="S10" s="66"/>
      <c r="U10" s="116" t="str">
        <f xml:space="preserve"> "Übertrag in " &amp;  IF( MONTH(B1)=12, YEAR(B1)+1, TEXT(EDATE(B1,1),"MMMM"))</f>
        <v>Übertrag in September</v>
      </c>
      <c r="V10" s="133">
        <f ca="1">IF(V5="",0,V5)+V8+V9</f>
        <v>-50.999999999999986</v>
      </c>
      <c r="AU10" t="str">
        <f>IF(AV10=1,VLOOKUP($B10,Feiertage!$B$2:$D$49,3,FALSE),"")</f>
        <v/>
      </c>
      <c r="AV10">
        <f>IF(IFERROR(MATCH($B10,Feiertage!$B$2:$B$49,0)&gt;0,0),1,0)</f>
        <v>0</v>
      </c>
      <c r="AW10" s="22">
        <f>IFERROR(HLOOKUP(DAY(B10),Urlaub!$C$4:$AG$16,MONTH(B10)+1,FALSE),0)</f>
        <v>0</v>
      </c>
      <c r="AX10" s="38">
        <f t="shared" si="3"/>
        <v>0</v>
      </c>
      <c r="AY10" s="7">
        <f t="shared" si="4"/>
        <v>2.0833333333333332E-2</v>
      </c>
      <c r="AZ10" s="5">
        <f t="shared" si="5"/>
        <v>0</v>
      </c>
      <c r="BA10" s="39">
        <f t="shared" si="7"/>
        <v>0</v>
      </c>
      <c r="BB10" s="5">
        <f t="shared" si="6"/>
        <v>0.33333333333333331</v>
      </c>
    </row>
    <row r="11" spans="1:54" ht="18.75" x14ac:dyDescent="0.3">
      <c r="B11" s="43">
        <f t="shared" si="8"/>
        <v>41857</v>
      </c>
      <c r="C11" s="44">
        <f t="shared" si="9"/>
        <v>41857</v>
      </c>
      <c r="D11" s="3"/>
      <c r="E11" s="62"/>
      <c r="F11" s="62"/>
      <c r="G11" s="62"/>
      <c r="H11" s="62"/>
      <c r="I11" s="62" t="str">
        <f t="shared" ca="1" si="0"/>
        <v/>
      </c>
      <c r="J11" s="52">
        <f>IF(AND(Feiertage!$G$2&lt;&gt;"ja",AV11=1),IF(AZ11&gt;0,BB11+AZ11,BB11),IF(AZ11=0,0, IF(I11&lt;&gt;"",AZ11-I11,AZ11)))+AX11</f>
        <v>0</v>
      </c>
      <c r="K11" s="62">
        <f>IF(AV11=0,BB11,IF(Feiertage!$G$2="ja","00:00",BB11))</f>
        <v>0.33333333333333331</v>
      </c>
      <c r="L11" s="52">
        <f t="shared" ca="1" si="1"/>
        <v>-0.33333333333333331</v>
      </c>
      <c r="M11" s="50" t="str">
        <f>IF(AV11=1,AU11,IF(LOWER(AW11)=LOWER(Urlaub!$W$19),Urlaub!$S$19,
IF(LOWER(AW11)=LOWER(Urlaub!$W$20),Urlaub!$S$20,
IF(LOWER(AW11)=LOWER(Urlaub!$W$21),Urlaub!$S$21,
IF(LOWER(AW11)=LOWER(Urlaub!$W$22),Urlaub!$S$22,
IF(LOWER(AW11)=LOWER(Urlaub!$W$23),Urlaub!$S$23,
IF(LOWER(AW11)=LOWER(Urlaub!$W$24),Urlaub!$S$24,""))))))&amp;IF(AND(EXACT(LOWER(AW11),AW11),AW11&lt;&gt;0)," 1/2",""))</f>
        <v/>
      </c>
      <c r="N11" s="53">
        <f t="shared" si="2"/>
        <v>0</v>
      </c>
      <c r="O11" s="21"/>
      <c r="P11" s="79">
        <v>41644</v>
      </c>
      <c r="Q11" s="67">
        <v>0</v>
      </c>
      <c r="R11" s="63">
        <v>2.0833333333333301E-2</v>
      </c>
      <c r="S11" s="66"/>
      <c r="AU11" t="str">
        <f>IF(AV11=1,VLOOKUP($B11,Feiertage!$B$2:$D$49,3,FALSE),"")</f>
        <v/>
      </c>
      <c r="AV11">
        <f>IF(IFERROR(MATCH($B11,Feiertage!$B$2:$B$49,0)&gt;0,0),1,0)</f>
        <v>0</v>
      </c>
      <c r="AW11" s="22">
        <f>IFERROR(HLOOKUP(DAY(B11),Urlaub!$C$4:$AG$16,MONTH(B11)+1,FALSE),0)</f>
        <v>0</v>
      </c>
      <c r="AX11" s="38">
        <f t="shared" si="3"/>
        <v>0</v>
      </c>
      <c r="AY11" s="7">
        <f t="shared" si="4"/>
        <v>2.0833333333333332E-2</v>
      </c>
      <c r="AZ11" s="5">
        <f>IF(F11,IF(E11,IF(E11&gt;F11,F11+"24:00"-E11,F11-E11),0),0)+IF(G11,IF(G11,IF(G11&gt;H11,H11+"24:00"-G11,H11-G11),0),0)</f>
        <v>0</v>
      </c>
      <c r="BA11" s="39">
        <f t="shared" si="7"/>
        <v>0</v>
      </c>
      <c r="BB11" s="5">
        <f t="shared" si="6"/>
        <v>0.33333333333333331</v>
      </c>
    </row>
    <row r="12" spans="1:54" ht="19.5" thickBot="1" x14ac:dyDescent="0.35">
      <c r="B12" s="43">
        <f t="shared" si="8"/>
        <v>41858</v>
      </c>
      <c r="C12" s="44">
        <f t="shared" si="9"/>
        <v>41858</v>
      </c>
      <c r="D12" s="3"/>
      <c r="E12" s="62"/>
      <c r="F12" s="62"/>
      <c r="G12" s="62"/>
      <c r="H12" s="62"/>
      <c r="I12" s="62" t="str">
        <f t="shared" ca="1" si="0"/>
        <v/>
      </c>
      <c r="J12" s="52">
        <f>IF(AND(Feiertage!$G$2&lt;&gt;"ja",AV12=1),IF(AZ12&gt;0,BB12+AZ12,BB12),IF(AZ12=0,0, IF(I12&lt;&gt;"",AZ12-I12,AZ12)))+AX12</f>
        <v>0</v>
      </c>
      <c r="K12" s="62">
        <f>IF(AV12=0,BB12,IF(Feiertage!$G$2="ja","00:00",BB12))</f>
        <v>0.33333333333333331</v>
      </c>
      <c r="L12" s="52">
        <f t="shared" ca="1" si="1"/>
        <v>-0.33333333333333331</v>
      </c>
      <c r="M12" s="50" t="str">
        <f>IF(AV12=1,AU12,IF(LOWER(AW12)=LOWER(Urlaub!$W$19),Urlaub!$S$19,
IF(LOWER(AW12)=LOWER(Urlaub!$W$20),Urlaub!$S$20,
IF(LOWER(AW12)=LOWER(Urlaub!$W$21),Urlaub!$S$21,
IF(LOWER(AW12)=LOWER(Urlaub!$W$22),Urlaub!$S$22,
IF(LOWER(AW12)=LOWER(Urlaub!$W$23),Urlaub!$S$23,
IF(LOWER(AW12)=LOWER(Urlaub!$W$24),Urlaub!$S$24,""))))))&amp;IF(AND(EXACT(LOWER(AW12),AW12),AW12&lt;&gt;0)," 1/2",""))</f>
        <v/>
      </c>
      <c r="N12" s="53">
        <f t="shared" si="2"/>
        <v>0</v>
      </c>
      <c r="P12" s="80">
        <v>41645</v>
      </c>
      <c r="Q12" s="68">
        <v>0</v>
      </c>
      <c r="R12" s="110">
        <v>2.0833333333333301E-2</v>
      </c>
      <c r="S12" s="69"/>
      <c r="AU12" t="str">
        <f>IF(AV12=1,VLOOKUP($B12,Feiertage!$B$2:$D$49,3,FALSE),"")</f>
        <v/>
      </c>
      <c r="AV12">
        <f>IF(IFERROR(MATCH($B12,Feiertage!$B$2:$B$49,0)&gt;0,0),1,0)</f>
        <v>0</v>
      </c>
      <c r="AW12" s="22">
        <f>IFERROR(HLOOKUP(DAY(B12),Urlaub!$C$4:$AG$16,MONTH(B12)+1,FALSE),0)</f>
        <v>0</v>
      </c>
      <c r="AX12" s="38">
        <f t="shared" si="3"/>
        <v>0</v>
      </c>
      <c r="AY12" s="7">
        <f t="shared" si="4"/>
        <v>2.0833333333333301E-2</v>
      </c>
      <c r="AZ12" s="5">
        <f>IF(F12,IF(E12,IF(E12&gt;F12,F12+"24:00"-E12,F12-E12),0),0)+IF(G12,IF(G12,IF(G12&gt;H12,H12+"24:00"-G12,H12-G12),0),0)</f>
        <v>0</v>
      </c>
      <c r="BA12" s="39">
        <f t="shared" si="7"/>
        <v>0</v>
      </c>
      <c r="BB12" s="5">
        <f t="shared" si="6"/>
        <v>0.33333333333333331</v>
      </c>
    </row>
    <row r="13" spans="1:54" ht="19.5" thickBot="1" x14ac:dyDescent="0.35">
      <c r="B13" s="43">
        <f t="shared" si="8"/>
        <v>41859</v>
      </c>
      <c r="C13" s="44">
        <f t="shared" si="9"/>
        <v>41859</v>
      </c>
      <c r="D13" s="3"/>
      <c r="E13" s="62"/>
      <c r="F13" s="62"/>
      <c r="G13" s="62"/>
      <c r="H13" s="62"/>
      <c r="I13" s="62" t="str">
        <f t="shared" ca="1" si="0"/>
        <v/>
      </c>
      <c r="J13" s="52">
        <f>IF(AND(Feiertage!$G$2&lt;&gt;"ja",AV13=1),IF(AZ13&gt;0,BB13+AZ13,BB13),IF(AZ13=0,0, IF(I13&lt;&gt;"",AZ13-I13,AZ13)))+AX13</f>
        <v>0</v>
      </c>
      <c r="K13" s="62">
        <f>IF(AV13=0,BB13,IF(Feiertage!$G$2="ja","00:00",BB13))</f>
        <v>0.33333333333333331</v>
      </c>
      <c r="L13" s="52">
        <f t="shared" ca="1" si="1"/>
        <v>-0.33333333333333331</v>
      </c>
      <c r="M13" s="50" t="str">
        <f>IF(AV13=1,AU13,IF(LOWER(AW13)=LOWER(Urlaub!$W$19),Urlaub!$S$19,
IF(LOWER(AW13)=LOWER(Urlaub!$W$20),Urlaub!$S$20,
IF(LOWER(AW13)=LOWER(Urlaub!$W$21),Urlaub!$S$21,
IF(LOWER(AW13)=LOWER(Urlaub!$W$22),Urlaub!$S$22,
IF(LOWER(AW13)=LOWER(Urlaub!$W$23),Urlaub!$S$23,
IF(LOWER(AW13)=LOWER(Urlaub!$W$24),Urlaub!$S$24,""))))))&amp;IF(AND(EXACT(LOWER(AW13),AW13),AW13&lt;&gt;0)," 1/2",""))</f>
        <v/>
      </c>
      <c r="N13" s="53">
        <f t="shared" si="2"/>
        <v>0</v>
      </c>
      <c r="P13" s="56" t="s">
        <v>9</v>
      </c>
      <c r="Q13" s="57">
        <f>SUM(Q6:Q12)</f>
        <v>1.6666666666666665</v>
      </c>
      <c r="R13" s="4"/>
      <c r="Y13" s="7"/>
      <c r="AU13" t="str">
        <f>IF(AV13=1,VLOOKUP($B13,Feiertage!$B$2:$D$49,3,FALSE),"")</f>
        <v/>
      </c>
      <c r="AV13">
        <f>IF(IFERROR(MATCH($B13,Feiertage!$B$2:$B$49,0)&gt;0,0),1,0)</f>
        <v>0</v>
      </c>
      <c r="AW13" s="22">
        <f>IFERROR(HLOOKUP(DAY(B13),Urlaub!$C$4:$AG$16,MONTH(B13)+1,FALSE),0)</f>
        <v>0</v>
      </c>
      <c r="AX13" s="38">
        <f t="shared" si="3"/>
        <v>0</v>
      </c>
      <c r="AY13" s="7">
        <f t="shared" si="4"/>
        <v>2.0833333333333301E-2</v>
      </c>
      <c r="AZ13" s="5">
        <f t="shared" si="5"/>
        <v>0</v>
      </c>
      <c r="BA13" s="39">
        <f t="shared" si="7"/>
        <v>0</v>
      </c>
      <c r="BB13" s="5">
        <f t="shared" si="6"/>
        <v>0.33333333333333331</v>
      </c>
    </row>
    <row r="14" spans="1:54" ht="18.75" x14ac:dyDescent="0.3">
      <c r="B14" s="43">
        <f t="shared" si="8"/>
        <v>41860</v>
      </c>
      <c r="C14" s="44">
        <f t="shared" si="9"/>
        <v>41860</v>
      </c>
      <c r="D14" s="3"/>
      <c r="E14" s="62"/>
      <c r="F14" s="62"/>
      <c r="G14" s="62"/>
      <c r="H14" s="62"/>
      <c r="I14" s="62" t="str">
        <f t="shared" ca="1" si="0"/>
        <v/>
      </c>
      <c r="J14" s="52">
        <f>IF(AND(Feiertage!$G$2&lt;&gt;"ja",AV14=1),IF(AZ14&gt;0,BB14+AZ14,BB14),IF(AZ14=0,0, IF(I14&lt;&gt;"",AZ14-I14,AZ14)))+AX14</f>
        <v>0</v>
      </c>
      <c r="K14" s="62">
        <f>IF(AV14=0,BB14,IF(Feiertage!$G$2="ja","00:00",BB14))</f>
        <v>0.33333333333333331</v>
      </c>
      <c r="L14" s="52" t="str">
        <f t="shared" ca="1" si="1"/>
        <v/>
      </c>
      <c r="M14" s="50" t="str">
        <f>IF(AV14=1,AU14,IF(LOWER(AW14)=LOWER(Urlaub!$W$19),Urlaub!$S$19,
IF(LOWER(AW14)=LOWER(Urlaub!$W$20),Urlaub!$S$20,
IF(LOWER(AW14)=LOWER(Urlaub!$W$21),Urlaub!$S$21,
IF(LOWER(AW14)=LOWER(Urlaub!$W$22),Urlaub!$S$22,
IF(LOWER(AW14)=LOWER(Urlaub!$W$23),Urlaub!$S$23,
IF(LOWER(AW14)=LOWER(Urlaub!$W$24),Urlaub!$S$24,""))))))&amp;IF(AND(EXACT(LOWER(AW14),AW14),AW14&lt;&gt;0)," 1/2",""))</f>
        <v/>
      </c>
      <c r="N14" s="53">
        <f t="shared" si="2"/>
        <v>0</v>
      </c>
      <c r="O14" s="6"/>
      <c r="AU14" t="str">
        <f>IF(AV14=1,VLOOKUP($B14,Feiertage!$B$2:$D$49,3,FALSE),"")</f>
        <v/>
      </c>
      <c r="AV14">
        <f>IF(IFERROR(MATCH($B14,Feiertage!$B$2:$B$49,0)&gt;0,0),1,0)</f>
        <v>0</v>
      </c>
      <c r="AW14" s="22">
        <f>IFERROR(HLOOKUP(DAY(B14),Urlaub!$C$4:$AG$16,MONTH(B14)+1,FALSE),0)</f>
        <v>0</v>
      </c>
      <c r="AX14" s="38">
        <f t="shared" si="3"/>
        <v>0</v>
      </c>
      <c r="AY14" s="7">
        <f t="shared" si="4"/>
        <v>2.0833333333333301E-2</v>
      </c>
      <c r="AZ14" s="5">
        <f t="shared" si="5"/>
        <v>0</v>
      </c>
      <c r="BA14" s="39">
        <f t="shared" si="7"/>
        <v>0</v>
      </c>
      <c r="BB14" s="5">
        <f t="shared" si="6"/>
        <v>0.33333333333333331</v>
      </c>
    </row>
    <row r="15" spans="1:54" ht="19.5" thickBot="1" x14ac:dyDescent="0.35">
      <c r="B15" s="43">
        <f t="shared" si="8"/>
        <v>41861</v>
      </c>
      <c r="C15" s="44">
        <f t="shared" si="9"/>
        <v>41861</v>
      </c>
      <c r="D15" s="3"/>
      <c r="E15" s="62"/>
      <c r="F15" s="62"/>
      <c r="G15" s="62"/>
      <c r="H15" s="62"/>
      <c r="I15" s="62" t="str">
        <f t="shared" ca="1" si="0"/>
        <v/>
      </c>
      <c r="J15" s="52">
        <f>IF(AND(Feiertage!$G$2&lt;&gt;"ja",AV15=1),IF(AZ15&gt;0,BB15+AZ15,BB15),IF(AZ15=0,0, IF(I15&lt;&gt;"",AZ15-I15,AZ15)))+AX15</f>
        <v>0</v>
      </c>
      <c r="K15" s="62">
        <f>IF(AV15=0,BB15,IF(Feiertage!$G$2="ja","00:00",BB15))</f>
        <v>0</v>
      </c>
      <c r="L15" s="52" t="str">
        <f t="shared" ca="1" si="1"/>
        <v/>
      </c>
      <c r="M15" s="50" t="str">
        <f>IF(AV15=1,AU15,IF(LOWER(AW15)=LOWER(Urlaub!$W$19),Urlaub!$S$19,
IF(LOWER(AW15)=LOWER(Urlaub!$W$20),Urlaub!$S$20,
IF(LOWER(AW15)=LOWER(Urlaub!$W$21),Urlaub!$S$21,
IF(LOWER(AW15)=LOWER(Urlaub!$W$22),Urlaub!$S$22,
IF(LOWER(AW15)=LOWER(Urlaub!$W$23),Urlaub!$S$23,
IF(LOWER(AW15)=LOWER(Urlaub!$W$24),Urlaub!$S$24,""))))))&amp;IF(AND(EXACT(LOWER(AW15),AW15),AW15&lt;&gt;0)," 1/2",""))</f>
        <v/>
      </c>
      <c r="N15" s="53">
        <f t="shared" si="2"/>
        <v>0</v>
      </c>
      <c r="P15" s="153" t="s">
        <v>86</v>
      </c>
      <c r="Q15" s="154"/>
      <c r="R15" s="154"/>
      <c r="S15" s="154"/>
      <c r="T15" s="154"/>
      <c r="U15" s="154"/>
      <c r="V15" s="154"/>
      <c r="AU15" t="str">
        <f>IF(AV15=1,VLOOKUP($B15,Feiertage!$B$2:$D$49,3,FALSE),"")</f>
        <v/>
      </c>
      <c r="AV15">
        <f>IF(IFERROR(MATCH($B15,Feiertage!$B$2:$B$49,0)&gt;0,0),1,0)</f>
        <v>0</v>
      </c>
      <c r="AW15" s="22">
        <f>IFERROR(HLOOKUP(DAY(B15),Urlaub!$C$4:$AG$16,MONTH(B15)+1,FALSE),0)</f>
        <v>0</v>
      </c>
      <c r="AX15" s="38">
        <f t="shared" si="3"/>
        <v>0</v>
      </c>
      <c r="AY15" s="7">
        <f t="shared" si="4"/>
        <v>2.0833333333333301E-2</v>
      </c>
      <c r="AZ15" s="5">
        <f t="shared" si="5"/>
        <v>0</v>
      </c>
      <c r="BA15" s="39">
        <f t="shared" si="7"/>
        <v>0</v>
      </c>
      <c r="BB15" s="5">
        <f t="shared" si="6"/>
        <v>0</v>
      </c>
    </row>
    <row r="16" spans="1:54" ht="18.75" x14ac:dyDescent="0.3">
      <c r="B16" s="43">
        <f t="shared" si="8"/>
        <v>41862</v>
      </c>
      <c r="C16" s="44">
        <f t="shared" si="9"/>
        <v>41862</v>
      </c>
      <c r="D16" s="3"/>
      <c r="E16" s="62"/>
      <c r="F16" s="62"/>
      <c r="G16" s="62"/>
      <c r="H16" s="62"/>
      <c r="I16" s="62" t="str">
        <f t="shared" ca="1" si="0"/>
        <v/>
      </c>
      <c r="J16" s="52">
        <f>IF(AND(Feiertage!$G$2&lt;&gt;"ja",AV16=1),IF(AZ16&gt;0,BB16+AZ16,BB16),IF(AZ16=0,0, IF(I16&lt;&gt;"",AZ16-I16,AZ16)))+AX16</f>
        <v>0</v>
      </c>
      <c r="K16" s="62">
        <f>IF(AV16=0,BB16,IF(Feiertage!$G$2="ja","00:00",BB16))</f>
        <v>0</v>
      </c>
      <c r="L16" s="52" t="str">
        <f t="shared" ca="1" si="1"/>
        <v/>
      </c>
      <c r="M16" s="50" t="str">
        <f>IF(AV16=1,AU16,IF(LOWER(AW16)=LOWER(Urlaub!$W$19),Urlaub!$S$19,
IF(LOWER(AW16)=LOWER(Urlaub!$W$20),Urlaub!$S$20,
IF(LOWER(AW16)=LOWER(Urlaub!$W$21),Urlaub!$S$21,
IF(LOWER(AW16)=LOWER(Urlaub!$W$22),Urlaub!$S$22,
IF(LOWER(AW16)=LOWER(Urlaub!$W$23),Urlaub!$S$23,
IF(LOWER(AW16)=LOWER(Urlaub!$W$24),Urlaub!$S$24,""))))))&amp;IF(AND(EXACT(LOWER(AW16),AW16),AW16&lt;&gt;0)," 1/2",""))</f>
        <v/>
      </c>
      <c r="N16" s="53">
        <f t="shared" si="2"/>
        <v>0</v>
      </c>
      <c r="P16" s="155"/>
      <c r="Q16" s="156"/>
      <c r="R16" s="156"/>
      <c r="S16" s="156"/>
      <c r="T16" s="156"/>
      <c r="U16" s="156"/>
      <c r="V16" s="157"/>
      <c r="AU16" t="str">
        <f>IF(AV16=1,VLOOKUP($B16,Feiertage!$B$2:$D$49,3,FALSE),"")</f>
        <v/>
      </c>
      <c r="AV16">
        <f>IF(IFERROR(MATCH($B16,Feiertage!$B$2:$B$49,0)&gt;0,0),1,0)</f>
        <v>0</v>
      </c>
      <c r="AW16" s="22">
        <f>IFERROR(HLOOKUP(DAY(B16),Urlaub!$C$4:$AG$16,MONTH(B16)+1,FALSE),0)</f>
        <v>0</v>
      </c>
      <c r="AX16" s="38">
        <f t="shared" si="3"/>
        <v>0</v>
      </c>
      <c r="AY16" s="7">
        <f t="shared" si="4"/>
        <v>2.0833333333333301E-2</v>
      </c>
      <c r="AZ16" s="5">
        <f t="shared" si="5"/>
        <v>0</v>
      </c>
      <c r="BA16" s="39">
        <f t="shared" si="7"/>
        <v>0</v>
      </c>
      <c r="BB16" s="5">
        <f t="shared" si="6"/>
        <v>0</v>
      </c>
    </row>
    <row r="17" spans="2:54" ht="18.75" x14ac:dyDescent="0.3">
      <c r="B17" s="43">
        <f t="shared" si="8"/>
        <v>41863</v>
      </c>
      <c r="C17" s="44">
        <f t="shared" si="9"/>
        <v>41863</v>
      </c>
      <c r="D17" s="3"/>
      <c r="E17" s="62"/>
      <c r="F17" s="62"/>
      <c r="G17" s="62"/>
      <c r="H17" s="62"/>
      <c r="I17" s="62" t="str">
        <f t="shared" ca="1" si="0"/>
        <v/>
      </c>
      <c r="J17" s="52">
        <f>IF(AND(Feiertage!$G$2&lt;&gt;"ja",AV17=1),IF(AZ17&gt;0,BB17+AZ17,BB17),IF(AZ17=0,0, IF(I17&lt;&gt;"",AZ17-I17,AZ17)))+AX17</f>
        <v>0</v>
      </c>
      <c r="K17" s="62">
        <f>IF(AV17=0,BB17,IF(Feiertage!$G$2="ja","00:00",BB17))</f>
        <v>0.33333333333333331</v>
      </c>
      <c r="L17" s="52" t="str">
        <f t="shared" ca="1" si="1"/>
        <v/>
      </c>
      <c r="M17" s="50" t="str">
        <f>IF(AV17=1,AU17,IF(LOWER(AW17)=LOWER(Urlaub!$W$19),Urlaub!$S$19,
IF(LOWER(AW17)=LOWER(Urlaub!$W$20),Urlaub!$S$20,
IF(LOWER(AW17)=LOWER(Urlaub!$W$21),Urlaub!$S$21,
IF(LOWER(AW17)=LOWER(Urlaub!$W$22),Urlaub!$S$22,
IF(LOWER(AW17)=LOWER(Urlaub!$W$23),Urlaub!$S$23,
IF(LOWER(AW17)=LOWER(Urlaub!$W$24),Urlaub!$S$24,""))))))&amp;IF(AND(EXACT(LOWER(AW17),AW17),AW17&lt;&gt;0)," 1/2",""))</f>
        <v/>
      </c>
      <c r="N17" s="53">
        <f t="shared" si="2"/>
        <v>0</v>
      </c>
      <c r="P17" s="158"/>
      <c r="Q17" s="159"/>
      <c r="R17" s="159"/>
      <c r="S17" s="159"/>
      <c r="T17" s="159"/>
      <c r="U17" s="159"/>
      <c r="V17" s="160"/>
      <c r="AU17" t="str">
        <f>IF(AV17=1,VLOOKUP($B17,Feiertage!$B$2:$D$49,3,FALSE),"")</f>
        <v/>
      </c>
      <c r="AV17">
        <f>IF(IFERROR(MATCH($B17,Feiertage!$B$2:$B$49,0)&gt;0,0),1,0)</f>
        <v>0</v>
      </c>
      <c r="AW17" s="22">
        <f>IFERROR(HLOOKUP(DAY(B17),Urlaub!$C$4:$AG$16,MONTH(B17)+1,FALSE),0)</f>
        <v>0</v>
      </c>
      <c r="AX17" s="38">
        <f t="shared" ref="AX17:AX35" si="10">IFERROR(IF(OR(AW17=0,AW17="G"),0,IF(EXACT(LOWER(AW17),AW17),0.5*BB17,BB17)),"")</f>
        <v>0</v>
      </c>
      <c r="AY17" s="7">
        <f t="shared" si="4"/>
        <v>2.0833333333333332E-2</v>
      </c>
      <c r="AZ17" s="5">
        <f t="shared" si="5"/>
        <v>0</v>
      </c>
      <c r="BA17" s="39">
        <f t="shared" si="7"/>
        <v>0</v>
      </c>
      <c r="BB17" s="5">
        <f t="shared" si="6"/>
        <v>0.33333333333333331</v>
      </c>
    </row>
    <row r="18" spans="2:54" ht="19.5" thickBot="1" x14ac:dyDescent="0.35">
      <c r="B18" s="43">
        <f t="shared" si="8"/>
        <v>41864</v>
      </c>
      <c r="C18" s="44">
        <f t="shared" si="9"/>
        <v>41864</v>
      </c>
      <c r="D18" s="3"/>
      <c r="E18" s="62"/>
      <c r="F18" s="62"/>
      <c r="G18" s="62"/>
      <c r="H18" s="62"/>
      <c r="I18" s="62" t="str">
        <f t="shared" ca="1" si="0"/>
        <v/>
      </c>
      <c r="J18" s="52">
        <f>IF(AND(Feiertage!$G$2&lt;&gt;"ja",AV18=1),IF(AZ18&gt;0,BB18+AZ18,BB18),IF(AZ18=0,0, IF(I18&lt;&gt;"",AZ18-I18,AZ18)))+AX18</f>
        <v>0</v>
      </c>
      <c r="K18" s="62">
        <f>IF(AV18=0,BB18,IF(Feiertage!$G$2="ja","00:00",BB18))</f>
        <v>0.33333333333333331</v>
      </c>
      <c r="L18" s="52" t="str">
        <f t="shared" ca="1" si="1"/>
        <v/>
      </c>
      <c r="M18" s="50" t="str">
        <f>IF(AV18=1,AU18,IF(LOWER(AW18)=LOWER(Urlaub!$W$19),Urlaub!$S$19,
IF(LOWER(AW18)=LOWER(Urlaub!$W$20),Urlaub!$S$20,
IF(LOWER(AW18)=LOWER(Urlaub!$W$21),Urlaub!$S$21,
IF(LOWER(AW18)=LOWER(Urlaub!$W$22),Urlaub!$S$22,
IF(LOWER(AW18)=LOWER(Urlaub!$W$23),Urlaub!$S$23,
IF(LOWER(AW18)=LOWER(Urlaub!$W$24),Urlaub!$S$24,""))))))&amp;IF(AND(EXACT(LOWER(AW18),AW18),AW18&lt;&gt;0)," 1/2",""))</f>
        <v/>
      </c>
      <c r="N18" s="53">
        <f t="shared" si="2"/>
        <v>0</v>
      </c>
      <c r="P18" s="161"/>
      <c r="Q18" s="162"/>
      <c r="R18" s="162"/>
      <c r="S18" s="162"/>
      <c r="T18" s="162"/>
      <c r="U18" s="162"/>
      <c r="V18" s="163"/>
      <c r="AU18" t="str">
        <f>IF(AV18=1,VLOOKUP($B18,Feiertage!$B$2:$D$49,3,FALSE),"")</f>
        <v/>
      </c>
      <c r="AV18">
        <f>IF(IFERROR(MATCH($B18,Feiertage!$B$2:$B$49,0)&gt;0,0),1,0)</f>
        <v>0</v>
      </c>
      <c r="AW18" s="22">
        <f>IFERROR(HLOOKUP(DAY(B18),Urlaub!$C$4:$AG$16,MONTH(B18)+1,FALSE),0)</f>
        <v>0</v>
      </c>
      <c r="AX18" s="38">
        <f t="shared" si="10"/>
        <v>0</v>
      </c>
      <c r="AY18" s="7">
        <f t="shared" si="4"/>
        <v>2.0833333333333332E-2</v>
      </c>
      <c r="AZ18" s="5">
        <f t="shared" si="5"/>
        <v>0</v>
      </c>
      <c r="BA18" s="39">
        <f t="shared" si="7"/>
        <v>0</v>
      </c>
      <c r="BB18" s="5">
        <f t="shared" si="6"/>
        <v>0.33333333333333331</v>
      </c>
    </row>
    <row r="19" spans="2:54" ht="18.75" x14ac:dyDescent="0.3">
      <c r="B19" s="43">
        <f t="shared" si="8"/>
        <v>41865</v>
      </c>
      <c r="C19" s="44">
        <f t="shared" si="9"/>
        <v>41865</v>
      </c>
      <c r="D19" s="3"/>
      <c r="E19" s="62"/>
      <c r="F19" s="62"/>
      <c r="G19" s="62"/>
      <c r="H19" s="62"/>
      <c r="I19" s="62" t="str">
        <f t="shared" ca="1" si="0"/>
        <v/>
      </c>
      <c r="J19" s="52">
        <f>IF(AND(Feiertage!$G$2&lt;&gt;"ja",AV19=1),IF(AZ19&gt;0,BB19+AZ19,BB19),IF(AZ19=0,0, IF(I19&lt;&gt;"",AZ19-I19,AZ19)))+AX19</f>
        <v>0</v>
      </c>
      <c r="K19" s="62">
        <f>IF(AV19=0,BB19,IF(Feiertage!$G$2="ja","00:00",BB19))</f>
        <v>0.33333333333333331</v>
      </c>
      <c r="L19" s="52" t="str">
        <f ca="1">IF(OR(B19&lt;=TODAY(),J19,AW19="G"),IF(J19&lt;&gt;"",IF(J19-K19=0,"",J19-K19),IF(K19&lt;&gt;"",-K19,"")),"")</f>
        <v/>
      </c>
      <c r="M19" s="50" t="str">
        <f>IF(AV19=1,AU19,IF(LOWER(AW19)=LOWER(Urlaub!$W$19),Urlaub!$S$19,
IF(LOWER(AW19)=LOWER(Urlaub!$W$20),Urlaub!$S$20,
IF(LOWER(AW19)=LOWER(Urlaub!$W$21),Urlaub!$S$21,
IF(LOWER(AW19)=LOWER(Urlaub!$W$22),Urlaub!$S$22,
IF(LOWER(AW19)=LOWER(Urlaub!$W$23),Urlaub!$S$23,
IF(LOWER(AW19)=LOWER(Urlaub!$W$24),Urlaub!$S$24,""))))))&amp;IF(AND(EXACT(LOWER(AW19),AW19),AW19&lt;&gt;0)," 1/2",""))</f>
        <v/>
      </c>
      <c r="N19" s="53">
        <f t="shared" si="2"/>
        <v>0</v>
      </c>
      <c r="AU19" t="str">
        <f>IF(AV19=1,VLOOKUP($B19,Feiertage!$B$2:$D$49,3,FALSE),"")</f>
        <v/>
      </c>
      <c r="AV19">
        <f>IF(IFERROR(MATCH($B19,Feiertage!$B$2:$B$49,0)&gt;0,0),1,0)</f>
        <v>0</v>
      </c>
      <c r="AW19" s="22">
        <f>IFERROR(HLOOKUP(DAY(B19),Urlaub!$C$4:$AG$16,MONTH(B19)+1,FALSE),0)</f>
        <v>0</v>
      </c>
      <c r="AX19" s="38">
        <f>IFERROR(IF(OR(AW19=0,AW19="G"),0,IF(EXACT(LOWER(AW19),AW19),0.5*BB19,BB19)),"")</f>
        <v>0</v>
      </c>
      <c r="AY19" s="7">
        <f t="shared" si="4"/>
        <v>2.0833333333333301E-2</v>
      </c>
      <c r="AZ19" s="5">
        <f t="shared" si="5"/>
        <v>0</v>
      </c>
      <c r="BA19" s="39">
        <f t="shared" si="7"/>
        <v>0</v>
      </c>
      <c r="BB19" s="5">
        <f t="shared" si="6"/>
        <v>0.33333333333333331</v>
      </c>
    </row>
    <row r="20" spans="2:54" ht="18.75" x14ac:dyDescent="0.3">
      <c r="B20" s="43">
        <f t="shared" si="8"/>
        <v>41866</v>
      </c>
      <c r="C20" s="44">
        <f t="shared" si="9"/>
        <v>41866</v>
      </c>
      <c r="D20" s="3"/>
      <c r="E20" s="62"/>
      <c r="F20" s="62"/>
      <c r="G20" s="62"/>
      <c r="H20" s="62"/>
      <c r="I20" s="62" t="str">
        <f t="shared" ca="1" si="0"/>
        <v/>
      </c>
      <c r="J20" s="52">
        <f>IF(AND(Feiertage!$G$2&lt;&gt;"ja",AV20=1),IF(AZ20&gt;0,BB20+AZ20,BB20),IF(AZ20=0,0, IF(I20&lt;&gt;"",AZ20-I20,AZ20)))+AX20</f>
        <v>0</v>
      </c>
      <c r="K20" s="62">
        <f>IF(AV20=0,BB20,IF(Feiertage!$G$2="ja","00:00",BB20))</f>
        <v>0.33333333333333331</v>
      </c>
      <c r="L20" s="52" t="str">
        <f t="shared" ref="L20:L35" ca="1" si="11">IF(OR(B20&lt;=TODAY(),J20,AW20="G"),IF(J20&lt;&gt;"",IF(J20-K20=0,"",J20-K20),IF(K20&lt;&gt;"",-K20,"")),"")</f>
        <v/>
      </c>
      <c r="M20" s="50" t="str">
        <f>IF(AV20=1,AU20,IF(LOWER(AW20)=LOWER(Urlaub!$W$19),Urlaub!$S$19,
IF(LOWER(AW20)=LOWER(Urlaub!$W$20),Urlaub!$S$20,
IF(LOWER(AW20)=LOWER(Urlaub!$W$21),Urlaub!$S$21,
IF(LOWER(AW20)=LOWER(Urlaub!$W$22),Urlaub!$S$22,
IF(LOWER(AW20)=LOWER(Urlaub!$W$23),Urlaub!$S$23,
IF(LOWER(AW20)=LOWER(Urlaub!$W$24),Urlaub!$S$24,""))))))&amp;IF(AND(EXACT(LOWER(AW20),AW20),AW20&lt;&gt;0)," 1/2",""))</f>
        <v/>
      </c>
      <c r="N20" s="53">
        <f t="shared" si="2"/>
        <v>0</v>
      </c>
      <c r="AU20" t="str">
        <f>IF(AV20=1,VLOOKUP($B20,Feiertage!$B$2:$D$49,3,FALSE),"")</f>
        <v/>
      </c>
      <c r="AV20">
        <f>IF(IFERROR(MATCH($B20,Feiertage!$B$2:$B$49,0)&gt;0,0),1,0)</f>
        <v>0</v>
      </c>
      <c r="AW20" s="22">
        <f>IFERROR(HLOOKUP(DAY(B20),Urlaub!$C$4:$AG$16,MONTH(B20)+1,FALSE),0)</f>
        <v>0</v>
      </c>
      <c r="AX20" s="38">
        <f t="shared" si="10"/>
        <v>0</v>
      </c>
      <c r="AY20" s="7">
        <f t="shared" si="4"/>
        <v>2.0833333333333301E-2</v>
      </c>
      <c r="AZ20" s="5">
        <f t="shared" si="5"/>
        <v>0</v>
      </c>
      <c r="BA20" s="39">
        <f t="shared" si="7"/>
        <v>0</v>
      </c>
      <c r="BB20" s="5">
        <f t="shared" si="6"/>
        <v>0.33333333333333331</v>
      </c>
    </row>
    <row r="21" spans="2:54" ht="18.75" x14ac:dyDescent="0.3">
      <c r="B21" s="43">
        <f t="shared" si="8"/>
        <v>41867</v>
      </c>
      <c r="C21" s="44">
        <f t="shared" si="9"/>
        <v>41867</v>
      </c>
      <c r="D21" s="3"/>
      <c r="E21" s="62"/>
      <c r="F21" s="62"/>
      <c r="G21" s="62"/>
      <c r="H21" s="62"/>
      <c r="I21" s="62" t="str">
        <f t="shared" ca="1" si="0"/>
        <v/>
      </c>
      <c r="J21" s="52">
        <f>IF(AND(Feiertage!$G$2&lt;&gt;"ja",AV21=1),IF(AZ21&gt;0,BB21+AZ21,BB21),IF(AZ21=0,0, IF(I21&lt;&gt;"",AZ21-I21,AZ21)))+AX21</f>
        <v>0</v>
      </c>
      <c r="K21" s="62">
        <f>IF(AV21=0,BB21,IF(Feiertage!$G$2="ja","00:00",BB21))</f>
        <v>0.33333333333333331</v>
      </c>
      <c r="L21" s="52" t="str">
        <f t="shared" ca="1" si="11"/>
        <v/>
      </c>
      <c r="M21" s="50" t="str">
        <f>IF(AV21=1,AU21,IF(LOWER(AW21)=LOWER(Urlaub!$W$19),Urlaub!$S$19,
IF(LOWER(AW21)=LOWER(Urlaub!$W$20),Urlaub!$S$20,
IF(LOWER(AW21)=LOWER(Urlaub!$W$21),Urlaub!$S$21,
IF(LOWER(AW21)=LOWER(Urlaub!$W$22),Urlaub!$S$22,
IF(LOWER(AW21)=LOWER(Urlaub!$W$23),Urlaub!$S$23,
IF(LOWER(AW21)=LOWER(Urlaub!$W$24),Urlaub!$S$24,""))))))&amp;IF(AND(EXACT(LOWER(AW21),AW21),AW21&lt;&gt;0)," 1/2",""))</f>
        <v/>
      </c>
      <c r="N21" s="53">
        <f t="shared" si="2"/>
        <v>0</v>
      </c>
      <c r="AU21" t="str">
        <f>IF(AV21=1,VLOOKUP($B21,Feiertage!$B$2:$D$49,3,FALSE),"")</f>
        <v/>
      </c>
      <c r="AV21">
        <f>IF(IFERROR(MATCH($B21,Feiertage!$B$2:$B$49,0)&gt;0,0),1,0)</f>
        <v>0</v>
      </c>
      <c r="AW21" s="22">
        <f>IFERROR(HLOOKUP(DAY(B21),Urlaub!$C$4:$AG$16,MONTH(B21)+1,FALSE),0)</f>
        <v>0</v>
      </c>
      <c r="AX21" s="38">
        <f t="shared" si="10"/>
        <v>0</v>
      </c>
      <c r="AY21" s="7">
        <f t="shared" si="4"/>
        <v>2.0833333333333301E-2</v>
      </c>
      <c r="AZ21" s="5">
        <f t="shared" si="5"/>
        <v>0</v>
      </c>
      <c r="BA21" s="39">
        <f t="shared" si="7"/>
        <v>0</v>
      </c>
      <c r="BB21" s="5">
        <f t="shared" si="6"/>
        <v>0.33333333333333331</v>
      </c>
    </row>
    <row r="22" spans="2:54" ht="18.75" x14ac:dyDescent="0.3">
      <c r="B22" s="43">
        <f t="shared" si="8"/>
        <v>41868</v>
      </c>
      <c r="C22" s="44">
        <f t="shared" si="9"/>
        <v>41868</v>
      </c>
      <c r="D22" s="3"/>
      <c r="E22" s="62"/>
      <c r="F22" s="62"/>
      <c r="G22" s="62"/>
      <c r="H22" s="62"/>
      <c r="I22" s="62" t="str">
        <f t="shared" ca="1" si="0"/>
        <v/>
      </c>
      <c r="J22" s="52">
        <f>IF(AND(Feiertage!$G$2&lt;&gt;"ja",AV22=1),IF(AZ22&gt;0,BB22+AZ22,BB22),IF(AZ22=0,0, IF(I22&lt;&gt;"",AZ22-I22,AZ22)))+AX22</f>
        <v>0</v>
      </c>
      <c r="K22" s="62">
        <f>IF(AV22=0,BB22,IF(Feiertage!$G$2="ja","00:00",BB22))</f>
        <v>0</v>
      </c>
      <c r="L22" s="52" t="str">
        <f t="shared" ca="1" si="11"/>
        <v/>
      </c>
      <c r="M22" s="50" t="str">
        <f>IF(AV22=1,AU22,IF(LOWER(AW22)=LOWER(Urlaub!$W$19),Urlaub!$S$19,
IF(LOWER(AW22)=LOWER(Urlaub!$W$20),Urlaub!$S$20,
IF(LOWER(AW22)=LOWER(Urlaub!$W$21),Urlaub!$S$21,
IF(LOWER(AW22)=LOWER(Urlaub!$W$22),Urlaub!$S$22,
IF(LOWER(AW22)=LOWER(Urlaub!$W$23),Urlaub!$S$23,
IF(LOWER(AW22)=LOWER(Urlaub!$W$24),Urlaub!$S$24,""))))))&amp;IF(AND(EXACT(LOWER(AW22),AW22),AW22&lt;&gt;0)," 1/2",""))</f>
        <v/>
      </c>
      <c r="N22" s="53">
        <f t="shared" si="2"/>
        <v>0</v>
      </c>
      <c r="AU22" t="str">
        <f>IF(AV22=1,VLOOKUP($B22,Feiertage!$B$2:$D$49,3,FALSE),"")</f>
        <v/>
      </c>
      <c r="AV22">
        <f>IF(IFERROR(MATCH($B22,Feiertage!$B$2:$B$49,0)&gt;0,0),1,0)</f>
        <v>0</v>
      </c>
      <c r="AW22" s="22">
        <f>IFERROR(HLOOKUP(DAY(B22),Urlaub!$C$4:$AG$16,MONTH(B22)+1,FALSE),0)</f>
        <v>0</v>
      </c>
      <c r="AX22" s="38">
        <f t="shared" si="10"/>
        <v>0</v>
      </c>
      <c r="AY22" s="7">
        <f t="shared" si="4"/>
        <v>2.0833333333333301E-2</v>
      </c>
      <c r="AZ22" s="5">
        <f t="shared" si="5"/>
        <v>0</v>
      </c>
      <c r="BA22" s="39">
        <f t="shared" si="7"/>
        <v>0</v>
      </c>
      <c r="BB22" s="5">
        <f t="shared" si="6"/>
        <v>0</v>
      </c>
    </row>
    <row r="23" spans="2:54" ht="18.75" x14ac:dyDescent="0.3">
      <c r="B23" s="43">
        <f t="shared" si="8"/>
        <v>41869</v>
      </c>
      <c r="C23" s="44">
        <f t="shared" si="9"/>
        <v>41869</v>
      </c>
      <c r="D23" s="3"/>
      <c r="E23" s="62"/>
      <c r="F23" s="62"/>
      <c r="G23" s="62"/>
      <c r="H23" s="62"/>
      <c r="I23" s="62" t="str">
        <f t="shared" ca="1" si="0"/>
        <v/>
      </c>
      <c r="J23" s="52">
        <f>IF(AND(Feiertage!$G$2&lt;&gt;"ja",AV23=1),IF(AZ23&gt;0,BB23+AZ23,BB23),IF(AZ23=0,0, IF(I23&lt;&gt;"",AZ23-I23,AZ23)))+AX23</f>
        <v>0</v>
      </c>
      <c r="K23" s="62">
        <f>IF(AV23=0,BB23,IF(Feiertage!$G$2="ja","00:00",BB23))</f>
        <v>0</v>
      </c>
      <c r="L23" s="52" t="str">
        <f t="shared" ca="1" si="11"/>
        <v/>
      </c>
      <c r="M23" s="50" t="str">
        <f>IF(AV23=1,AU23,IF(LOWER(AW23)=LOWER(Urlaub!$W$19),Urlaub!$S$19,
IF(LOWER(AW23)=LOWER(Urlaub!$W$20),Urlaub!$S$20,
IF(LOWER(AW23)=LOWER(Urlaub!$W$21),Urlaub!$S$21,
IF(LOWER(AW23)=LOWER(Urlaub!$W$22),Urlaub!$S$22,
IF(LOWER(AW23)=LOWER(Urlaub!$W$23),Urlaub!$S$23,
IF(LOWER(AW23)=LOWER(Urlaub!$W$24),Urlaub!$S$24,""))))))&amp;IF(AND(EXACT(LOWER(AW23),AW23),AW23&lt;&gt;0)," 1/2",""))</f>
        <v/>
      </c>
      <c r="N23" s="53">
        <f t="shared" si="2"/>
        <v>0</v>
      </c>
      <c r="AU23" t="str">
        <f>IF(AV23=1,VLOOKUP($B23,Feiertage!$B$2:$D$49,3,FALSE),"")</f>
        <v/>
      </c>
      <c r="AV23">
        <f>IF(IFERROR(MATCH($B23,Feiertage!$B$2:$B$49,0)&gt;0,0),1,0)</f>
        <v>0</v>
      </c>
      <c r="AW23" s="22">
        <f>IFERROR(HLOOKUP(DAY(B23),Urlaub!$C$4:$AG$16,MONTH(B23)+1,FALSE),0)</f>
        <v>0</v>
      </c>
      <c r="AX23" s="38">
        <f>IFERROR(IF(OR(AW23=0,AW23="G"),0,IF(EXACT(LOWER(AW23),AW23),0.5*BB23,BB23)),"")</f>
        <v>0</v>
      </c>
      <c r="AY23" s="7">
        <f t="shared" si="4"/>
        <v>2.0833333333333301E-2</v>
      </c>
      <c r="AZ23" s="5">
        <f t="shared" si="5"/>
        <v>0</v>
      </c>
      <c r="BA23" s="39">
        <f t="shared" si="7"/>
        <v>0</v>
      </c>
      <c r="BB23" s="5">
        <f t="shared" si="6"/>
        <v>0</v>
      </c>
    </row>
    <row r="24" spans="2:54" ht="18.75" x14ac:dyDescent="0.3">
      <c r="B24" s="43">
        <f t="shared" si="8"/>
        <v>41870</v>
      </c>
      <c r="C24" s="44">
        <f t="shared" si="9"/>
        <v>41870</v>
      </c>
      <c r="D24" s="3"/>
      <c r="E24" s="62"/>
      <c r="F24" s="62"/>
      <c r="G24" s="62"/>
      <c r="H24" s="62"/>
      <c r="I24" s="62" t="str">
        <f t="shared" ca="1" si="0"/>
        <v/>
      </c>
      <c r="J24" s="52">
        <f>IF(AND(Feiertage!$G$2&lt;&gt;"ja",AV24=1),IF(AZ24&gt;0,BB24+AZ24,BB24),IF(AZ24=0,0, IF(I24&lt;&gt;"",AZ24-I24,AZ24)))+AX24</f>
        <v>0</v>
      </c>
      <c r="K24" s="62">
        <f>IF(AV24=0,BB24,IF(Feiertage!$G$2="ja","00:00",BB24))</f>
        <v>0.33333333333333331</v>
      </c>
      <c r="L24" s="52" t="str">
        <f t="shared" ca="1" si="11"/>
        <v/>
      </c>
      <c r="M24" s="50" t="str">
        <f>IF(AV24=1,AU24,IF(LOWER(AW24)=LOWER(Urlaub!$W$19),Urlaub!$S$19,
IF(LOWER(AW24)=LOWER(Urlaub!$W$20),Urlaub!$S$20,
IF(LOWER(AW24)=LOWER(Urlaub!$W$21),Urlaub!$S$21,
IF(LOWER(AW24)=LOWER(Urlaub!$W$22),Urlaub!$S$22,
IF(LOWER(AW24)=LOWER(Urlaub!$W$23),Urlaub!$S$23,
IF(LOWER(AW24)=LOWER(Urlaub!$W$24),Urlaub!$S$24,""))))))&amp;IF(AND(EXACT(LOWER(AW24),AW24),AW24&lt;&gt;0)," 1/2",""))</f>
        <v/>
      </c>
      <c r="N24" s="53">
        <f t="shared" si="2"/>
        <v>0</v>
      </c>
      <c r="AU24" t="str">
        <f>IF(AV24=1,VLOOKUP($B24,Feiertage!$B$2:$D$49,3,FALSE),"")</f>
        <v/>
      </c>
      <c r="AV24">
        <f>IF(IFERROR(MATCH($B24,Feiertage!$B$2:$B$49,0)&gt;0,0),1,0)</f>
        <v>0</v>
      </c>
      <c r="AW24" s="22">
        <f>IFERROR(HLOOKUP(DAY(B24),Urlaub!$C$4:$AG$16,MONTH(B24)+1,FALSE),0)</f>
        <v>0</v>
      </c>
      <c r="AX24" s="38">
        <f t="shared" si="10"/>
        <v>0</v>
      </c>
      <c r="AY24" s="7">
        <f t="shared" si="4"/>
        <v>2.0833333333333332E-2</v>
      </c>
      <c r="AZ24" s="5">
        <f t="shared" si="5"/>
        <v>0</v>
      </c>
      <c r="BA24" s="39">
        <f t="shared" si="7"/>
        <v>0</v>
      </c>
      <c r="BB24" s="5">
        <f t="shared" si="6"/>
        <v>0.33333333333333331</v>
      </c>
    </row>
    <row r="25" spans="2:54" ht="18.75" x14ac:dyDescent="0.3">
      <c r="B25" s="43">
        <f t="shared" si="8"/>
        <v>41871</v>
      </c>
      <c r="C25" s="44">
        <f t="shared" si="9"/>
        <v>41871</v>
      </c>
      <c r="D25" s="3"/>
      <c r="E25" s="62"/>
      <c r="F25" s="62"/>
      <c r="G25" s="62"/>
      <c r="H25" s="62"/>
      <c r="I25" s="62" t="str">
        <f t="shared" ca="1" si="0"/>
        <v/>
      </c>
      <c r="J25" s="52">
        <f>IF(AND(Feiertage!$G$2&lt;&gt;"ja",AV25=1),IF(AZ25&gt;0,BB25+AZ25,BB25),IF(AZ25=0,0, IF(I25&lt;&gt;"",AZ25-I25,AZ25)))+AX25</f>
        <v>0</v>
      </c>
      <c r="K25" s="62">
        <f>IF(AV25=0,BB25,IF(Feiertage!$G$2="ja","00:00",BB25))</f>
        <v>0.33333333333333331</v>
      </c>
      <c r="L25" s="52" t="str">
        <f t="shared" ca="1" si="11"/>
        <v/>
      </c>
      <c r="M25" s="50" t="str">
        <f>IF(AV25=1,AU25,IF(LOWER(AW25)=LOWER(Urlaub!$W$19),Urlaub!$S$19,
IF(LOWER(AW25)=LOWER(Urlaub!$W$20),Urlaub!$S$20,
IF(LOWER(AW25)=LOWER(Urlaub!$W$21),Urlaub!$S$21,
IF(LOWER(AW25)=LOWER(Urlaub!$W$22),Urlaub!$S$22,
IF(LOWER(AW25)=LOWER(Urlaub!$W$23),Urlaub!$S$23,
IF(LOWER(AW25)=LOWER(Urlaub!$W$24),Urlaub!$S$24,""))))))&amp;IF(AND(EXACT(LOWER(AW25),AW25),AW25&lt;&gt;0)," 1/2",""))</f>
        <v/>
      </c>
      <c r="N25" s="53">
        <f t="shared" si="2"/>
        <v>0</v>
      </c>
      <c r="AU25" t="str">
        <f>IF(AV25=1,VLOOKUP($B25,Feiertage!$B$2:$D$49,3,FALSE),"")</f>
        <v/>
      </c>
      <c r="AV25">
        <f>IF(IFERROR(MATCH($B25,Feiertage!$B$2:$B$49,0)&gt;0,0),1,0)</f>
        <v>0</v>
      </c>
      <c r="AW25" s="22">
        <f>IFERROR(HLOOKUP(DAY(B25),Urlaub!$C$4:$AG$16,MONTH(B25)+1,FALSE),0)</f>
        <v>0</v>
      </c>
      <c r="AX25" s="38">
        <f t="shared" si="10"/>
        <v>0</v>
      </c>
      <c r="AY25" s="7">
        <f t="shared" si="4"/>
        <v>2.0833333333333332E-2</v>
      </c>
      <c r="AZ25" s="5">
        <f t="shared" si="5"/>
        <v>0</v>
      </c>
      <c r="BA25" s="39">
        <f t="shared" si="7"/>
        <v>0</v>
      </c>
      <c r="BB25" s="5">
        <f t="shared" si="6"/>
        <v>0.33333333333333331</v>
      </c>
    </row>
    <row r="26" spans="2:54" ht="18.75" x14ac:dyDescent="0.3">
      <c r="B26" s="43">
        <f t="shared" si="8"/>
        <v>41872</v>
      </c>
      <c r="C26" s="44">
        <f t="shared" si="9"/>
        <v>41872</v>
      </c>
      <c r="D26" s="3"/>
      <c r="E26" s="62"/>
      <c r="F26" s="62"/>
      <c r="G26" s="62"/>
      <c r="H26" s="62"/>
      <c r="I26" s="62" t="str">
        <f t="shared" ca="1" si="0"/>
        <v/>
      </c>
      <c r="J26" s="52">
        <f>IF(AND(Feiertage!$G$2&lt;&gt;"ja",AV26=1),IF(AZ26&gt;0,BB26+AZ26,BB26),IF(AZ26=0,0, IF(I26&lt;&gt;"",AZ26-I26,AZ26)))+AX26</f>
        <v>0</v>
      </c>
      <c r="K26" s="62">
        <f>IF(AV26=0,BB26,IF(Feiertage!$G$2="ja","00:00",BB26))</f>
        <v>0.33333333333333331</v>
      </c>
      <c r="L26" s="52" t="str">
        <f t="shared" ca="1" si="11"/>
        <v/>
      </c>
      <c r="M26" s="50" t="str">
        <f>IF(AV26=1,AU26,IF(LOWER(AW26)=LOWER(Urlaub!$W$19),Urlaub!$S$19,
IF(LOWER(AW26)=LOWER(Urlaub!$W$20),Urlaub!$S$20,
IF(LOWER(AW26)=LOWER(Urlaub!$W$21),Urlaub!$S$21,
IF(LOWER(AW26)=LOWER(Urlaub!$W$22),Urlaub!$S$22,
IF(LOWER(AW26)=LOWER(Urlaub!$W$23),Urlaub!$S$23,
IF(LOWER(AW26)=LOWER(Urlaub!$W$24),Urlaub!$S$24,""))))))&amp;IF(AND(EXACT(LOWER(AW26),AW26),AW26&lt;&gt;0)," 1/2",""))</f>
        <v/>
      </c>
      <c r="N26" s="53">
        <f t="shared" si="2"/>
        <v>0</v>
      </c>
      <c r="AU26" t="str">
        <f>IF(AV26=1,VLOOKUP($B26,Feiertage!$B$2:$D$49,3,FALSE),"")</f>
        <v/>
      </c>
      <c r="AV26">
        <f>IF(IFERROR(MATCH($B26,Feiertage!$B$2:$B$49,0)&gt;0,0),1,0)</f>
        <v>0</v>
      </c>
      <c r="AW26" s="22">
        <f>IFERROR(HLOOKUP(DAY(B26),Urlaub!$C$4:$AG$16,MONTH(B26)+1,FALSE),0)</f>
        <v>0</v>
      </c>
      <c r="AX26" s="38">
        <f t="shared" si="10"/>
        <v>0</v>
      </c>
      <c r="AY26" s="7">
        <f t="shared" si="4"/>
        <v>2.0833333333333301E-2</v>
      </c>
      <c r="AZ26" s="5">
        <f t="shared" si="5"/>
        <v>0</v>
      </c>
      <c r="BA26" s="39">
        <f t="shared" si="7"/>
        <v>0</v>
      </c>
      <c r="BB26" s="5">
        <f t="shared" si="6"/>
        <v>0.33333333333333331</v>
      </c>
    </row>
    <row r="27" spans="2:54" ht="18.75" x14ac:dyDescent="0.3">
      <c r="B27" s="43">
        <f t="shared" si="8"/>
        <v>41873</v>
      </c>
      <c r="C27" s="44">
        <f t="shared" si="9"/>
        <v>41873</v>
      </c>
      <c r="D27" s="3"/>
      <c r="E27" s="62"/>
      <c r="F27" s="62"/>
      <c r="G27" s="62"/>
      <c r="H27" s="62"/>
      <c r="I27" s="62" t="str">
        <f t="shared" ca="1" si="0"/>
        <v/>
      </c>
      <c r="J27" s="52">
        <f>IF(AND(Feiertage!$G$2&lt;&gt;"ja",AV27=1),IF(AZ27&gt;0,BB27+AZ27,BB27),IF(AZ27=0,0, IF(I27&lt;&gt;"",AZ27-I27,AZ27)))+AX27</f>
        <v>0</v>
      </c>
      <c r="K27" s="62">
        <f>IF(AV27=0,BB27,IF(Feiertage!$G$2="ja","00:00",BB27))</f>
        <v>0.33333333333333331</v>
      </c>
      <c r="L27" s="52" t="str">
        <f t="shared" ca="1" si="11"/>
        <v/>
      </c>
      <c r="M27" s="50" t="str">
        <f>IF(AV27=1,AU27,IF(LOWER(AW27)=LOWER(Urlaub!$W$19),Urlaub!$S$19,
IF(LOWER(AW27)=LOWER(Urlaub!$W$20),Urlaub!$S$20,
IF(LOWER(AW27)=LOWER(Urlaub!$W$21),Urlaub!$S$21,
IF(LOWER(AW27)=LOWER(Urlaub!$W$22),Urlaub!$S$22,
IF(LOWER(AW27)=LOWER(Urlaub!$W$23),Urlaub!$S$23,
IF(LOWER(AW27)=LOWER(Urlaub!$W$24),Urlaub!$S$24,""))))))&amp;IF(AND(EXACT(LOWER(AW27),AW27),AW27&lt;&gt;0)," 1/2",""))</f>
        <v/>
      </c>
      <c r="N27" s="53">
        <f t="shared" si="2"/>
        <v>0</v>
      </c>
      <c r="AU27" t="str">
        <f>IF(AV27=1,VLOOKUP($B27,Feiertage!$B$2:$D$49,3,FALSE),"")</f>
        <v/>
      </c>
      <c r="AV27">
        <f>IF(IFERROR(MATCH($B27,Feiertage!$B$2:$B$49,0)&gt;0,0),1,0)</f>
        <v>0</v>
      </c>
      <c r="AW27" s="22">
        <f>IFERROR(HLOOKUP(DAY(B27),Urlaub!$C$4:$AG$16,MONTH(B27)+1,FALSE),0)</f>
        <v>0</v>
      </c>
      <c r="AX27" s="38">
        <f t="shared" si="10"/>
        <v>0</v>
      </c>
      <c r="AY27" s="7">
        <f t="shared" si="4"/>
        <v>2.0833333333333301E-2</v>
      </c>
      <c r="AZ27" s="5">
        <f t="shared" si="5"/>
        <v>0</v>
      </c>
      <c r="BA27" s="39">
        <f t="shared" si="7"/>
        <v>0</v>
      </c>
      <c r="BB27" s="5">
        <f t="shared" si="6"/>
        <v>0.33333333333333331</v>
      </c>
    </row>
    <row r="28" spans="2:54" ht="18.75" x14ac:dyDescent="0.3">
      <c r="B28" s="43">
        <f t="shared" si="8"/>
        <v>41874</v>
      </c>
      <c r="C28" s="44">
        <f t="shared" si="9"/>
        <v>41874</v>
      </c>
      <c r="D28" s="3"/>
      <c r="E28" s="62"/>
      <c r="F28" s="62"/>
      <c r="G28" s="62"/>
      <c r="H28" s="62"/>
      <c r="I28" s="62" t="str">
        <f t="shared" ca="1" si="0"/>
        <v/>
      </c>
      <c r="J28" s="52">
        <f>IF(AND(Feiertage!$G$2&lt;&gt;"ja",AV28=1),IF(AZ28&gt;0,BB28+AZ28,BB28),IF(AZ28=0,0, IF(I28&lt;&gt;"",AZ28-I28,AZ28)))+AX28</f>
        <v>0</v>
      </c>
      <c r="K28" s="62">
        <f>IF(AV28=0,BB28,IF(Feiertage!$G$2="ja","00:00",BB28))</f>
        <v>0.33333333333333331</v>
      </c>
      <c r="L28" s="52" t="str">
        <f t="shared" ca="1" si="11"/>
        <v/>
      </c>
      <c r="M28" s="50" t="str">
        <f>IF(AV28=1,AU28,IF(LOWER(AW28)=LOWER(Urlaub!$W$19),Urlaub!$S$19,
IF(LOWER(AW28)=LOWER(Urlaub!$W$20),Urlaub!$S$20,
IF(LOWER(AW28)=LOWER(Urlaub!$W$21),Urlaub!$S$21,
IF(LOWER(AW28)=LOWER(Urlaub!$W$22),Urlaub!$S$22,
IF(LOWER(AW28)=LOWER(Urlaub!$W$23),Urlaub!$S$23,
IF(LOWER(AW28)=LOWER(Urlaub!$W$24),Urlaub!$S$24,""))))))&amp;IF(AND(EXACT(LOWER(AW28),AW28),AW28&lt;&gt;0)," 1/2",""))</f>
        <v/>
      </c>
      <c r="N28" s="53">
        <f t="shared" si="2"/>
        <v>0</v>
      </c>
      <c r="AU28" t="str">
        <f>IF(AV28=1,VLOOKUP($B28,Feiertage!$B$2:$D$49,3,FALSE),"")</f>
        <v/>
      </c>
      <c r="AV28">
        <f>IF(IFERROR(MATCH($B28,Feiertage!$B$2:$B$49,0)&gt;0,0),1,0)</f>
        <v>0</v>
      </c>
      <c r="AW28" s="22">
        <f>IFERROR(HLOOKUP(DAY(B28),Urlaub!$C$4:$AG$16,MONTH(B28)+1,FALSE),0)</f>
        <v>0</v>
      </c>
      <c r="AX28" s="38">
        <f t="shared" si="10"/>
        <v>0</v>
      </c>
      <c r="AY28" s="7">
        <f t="shared" si="4"/>
        <v>2.0833333333333301E-2</v>
      </c>
      <c r="AZ28" s="5">
        <f t="shared" si="5"/>
        <v>0</v>
      </c>
      <c r="BA28" s="39">
        <f t="shared" si="7"/>
        <v>0</v>
      </c>
      <c r="BB28" s="5">
        <f t="shared" si="6"/>
        <v>0.33333333333333331</v>
      </c>
    </row>
    <row r="29" spans="2:54" ht="18.75" x14ac:dyDescent="0.3">
      <c r="B29" s="43">
        <f t="shared" si="8"/>
        <v>41875</v>
      </c>
      <c r="C29" s="44">
        <f t="shared" si="9"/>
        <v>41875</v>
      </c>
      <c r="D29" s="3"/>
      <c r="E29" s="62"/>
      <c r="F29" s="62"/>
      <c r="G29" s="62"/>
      <c r="H29" s="62"/>
      <c r="I29" s="62" t="str">
        <f t="shared" ca="1" si="0"/>
        <v/>
      </c>
      <c r="J29" s="52">
        <f>IF(AND(Feiertage!$G$2&lt;&gt;"ja",AV29=1),IF(AZ29&gt;0,BB29+AZ29,BB29),IF(AZ29=0,0, IF(I29&lt;&gt;"",AZ29-I29,AZ29)))+AX29</f>
        <v>0</v>
      </c>
      <c r="K29" s="62">
        <f>IF(AV29=0,BB29,IF(Feiertage!$G$2="ja","00:00",BB29))</f>
        <v>0</v>
      </c>
      <c r="L29" s="52" t="str">
        <f t="shared" ca="1" si="11"/>
        <v/>
      </c>
      <c r="M29" s="50" t="str">
        <f>IF(AV29=1,AU29,IF(LOWER(AW29)=LOWER(Urlaub!$W$19),Urlaub!$S$19,
IF(LOWER(AW29)=LOWER(Urlaub!$W$20),Urlaub!$S$20,
IF(LOWER(AW29)=LOWER(Urlaub!$W$21),Urlaub!$S$21,
IF(LOWER(AW29)=LOWER(Urlaub!$W$22),Urlaub!$S$22,
IF(LOWER(AW29)=LOWER(Urlaub!$W$23),Urlaub!$S$23,
IF(LOWER(AW29)=LOWER(Urlaub!$W$24),Urlaub!$S$24,""))))))&amp;IF(AND(EXACT(LOWER(AW29),AW29),AW29&lt;&gt;0)," 1/2",""))</f>
        <v/>
      </c>
      <c r="N29" s="53">
        <f t="shared" si="2"/>
        <v>0</v>
      </c>
      <c r="AU29" t="str">
        <f>IF(AV29=1,VLOOKUP($B29,Feiertage!$B$2:$D$49,3,FALSE),"")</f>
        <v/>
      </c>
      <c r="AV29">
        <f>IF(IFERROR(MATCH($B29,Feiertage!$B$2:$B$49,0)&gt;0,0),1,0)</f>
        <v>0</v>
      </c>
      <c r="AW29" s="22">
        <f>IFERROR(HLOOKUP(DAY(B29),Urlaub!$C$4:$AG$16,MONTH(B29)+1,FALSE),0)</f>
        <v>0</v>
      </c>
      <c r="AX29" s="38">
        <f t="shared" si="10"/>
        <v>0</v>
      </c>
      <c r="AY29" s="7">
        <f t="shared" si="4"/>
        <v>2.0833333333333301E-2</v>
      </c>
      <c r="AZ29" s="5">
        <f t="shared" si="5"/>
        <v>0</v>
      </c>
      <c r="BA29" s="39">
        <f t="shared" si="7"/>
        <v>0</v>
      </c>
      <c r="BB29" s="5">
        <f t="shared" si="6"/>
        <v>0</v>
      </c>
    </row>
    <row r="30" spans="2:54" ht="18.75" x14ac:dyDescent="0.3">
      <c r="B30" s="43">
        <f t="shared" si="8"/>
        <v>41876</v>
      </c>
      <c r="C30" s="44">
        <f t="shared" si="9"/>
        <v>41876</v>
      </c>
      <c r="D30" s="3"/>
      <c r="E30" s="62"/>
      <c r="F30" s="62"/>
      <c r="G30" s="62"/>
      <c r="H30" s="62"/>
      <c r="I30" s="62" t="str">
        <f t="shared" ca="1" si="0"/>
        <v/>
      </c>
      <c r="J30" s="52">
        <f>IF(AND(Feiertage!$G$2&lt;&gt;"ja",AV30=1),IF(AZ30&gt;0,BB30+AZ30,BB30),IF(AZ30=0,0, IF(I30&lt;&gt;"",AZ30-I30,AZ30)))+AX30</f>
        <v>0</v>
      </c>
      <c r="K30" s="62">
        <f>IF(AV30=0,BB30,IF(Feiertage!$G$2="ja","00:00",BB30))</f>
        <v>0</v>
      </c>
      <c r="L30" s="52" t="str">
        <f t="shared" ca="1" si="11"/>
        <v/>
      </c>
      <c r="M30" s="50" t="str">
        <f>IF(AV30=1,AU30,IF(LOWER(AW30)=LOWER(Urlaub!$W$19),Urlaub!$S$19,
IF(LOWER(AW30)=LOWER(Urlaub!$W$20),Urlaub!$S$20,
IF(LOWER(AW30)=LOWER(Urlaub!$W$21),Urlaub!$S$21,
IF(LOWER(AW30)=LOWER(Urlaub!$W$22),Urlaub!$S$22,
IF(LOWER(AW30)=LOWER(Urlaub!$W$23),Urlaub!$S$23,
IF(LOWER(AW30)=LOWER(Urlaub!$W$24),Urlaub!$S$24,""))))))&amp;IF(AND(EXACT(LOWER(AW30),AW30),AW30&lt;&gt;0)," 1/2",""))</f>
        <v/>
      </c>
      <c r="N30" s="53">
        <f t="shared" si="2"/>
        <v>0</v>
      </c>
      <c r="AU30" t="str">
        <f>IF(AV30=1,VLOOKUP($B30,Feiertage!$B$2:$D$49,3,FALSE),"")</f>
        <v/>
      </c>
      <c r="AV30">
        <f>IF(IFERROR(MATCH($B30,Feiertage!$B$2:$B$49,0)&gt;0,0),1,0)</f>
        <v>0</v>
      </c>
      <c r="AW30" s="22">
        <f>IFERROR(HLOOKUP(DAY(B30),Urlaub!$C$4:$AG$16,MONTH(B30)+1,FALSE),0)</f>
        <v>0</v>
      </c>
      <c r="AX30" s="38">
        <f t="shared" si="10"/>
        <v>0</v>
      </c>
      <c r="AY30" s="7">
        <f t="shared" si="4"/>
        <v>2.0833333333333301E-2</v>
      </c>
      <c r="AZ30" s="5">
        <f t="shared" si="5"/>
        <v>0</v>
      </c>
      <c r="BA30" s="39">
        <f t="shared" si="7"/>
        <v>0</v>
      </c>
      <c r="BB30" s="5">
        <f t="shared" si="6"/>
        <v>0</v>
      </c>
    </row>
    <row r="31" spans="2:54" ht="18.75" x14ac:dyDescent="0.3">
      <c r="B31" s="43">
        <f t="shared" si="8"/>
        <v>41877</v>
      </c>
      <c r="C31" s="44">
        <f t="shared" si="9"/>
        <v>41877</v>
      </c>
      <c r="D31" s="3"/>
      <c r="E31" s="62"/>
      <c r="F31" s="62"/>
      <c r="G31" s="62"/>
      <c r="H31" s="62"/>
      <c r="I31" s="62" t="str">
        <f t="shared" ca="1" si="0"/>
        <v/>
      </c>
      <c r="J31" s="52">
        <f>IF(AND(Feiertage!$G$2&lt;&gt;"ja",AV31=1),IF(AZ31&gt;0,BB31+AZ31,BB31),IF(AZ31=0,0, IF(I31&lt;&gt;"",AZ31-I31,AZ31)))+AX31</f>
        <v>0</v>
      </c>
      <c r="K31" s="62">
        <f>IF(AV31=0,BB31,IF(Feiertage!$G$2="ja","00:00",BB31))</f>
        <v>0.33333333333333331</v>
      </c>
      <c r="L31" s="52" t="str">
        <f t="shared" ca="1" si="11"/>
        <v/>
      </c>
      <c r="M31" s="50" t="str">
        <f>IF(AV31=1,AU31,IF(LOWER(AW31)=LOWER(Urlaub!$W$19),Urlaub!$S$19,
IF(LOWER(AW31)=LOWER(Urlaub!$W$20),Urlaub!$S$20,
IF(LOWER(AW31)=LOWER(Urlaub!$W$21),Urlaub!$S$21,
IF(LOWER(AW31)=LOWER(Urlaub!$W$22),Urlaub!$S$22,
IF(LOWER(AW31)=LOWER(Urlaub!$W$23),Urlaub!$S$23,
IF(LOWER(AW31)=LOWER(Urlaub!$W$24),Urlaub!$S$24,""))))))&amp;IF(AND(EXACT(LOWER(AW31),AW31),AW31&lt;&gt;0)," 1/2",""))</f>
        <v/>
      </c>
      <c r="N31" s="53">
        <f t="shared" si="2"/>
        <v>0</v>
      </c>
      <c r="AU31" t="str">
        <f>IF(AV31=1,VLOOKUP($B31,Feiertage!$B$2:$D$49,3,FALSE),"")</f>
        <v/>
      </c>
      <c r="AV31">
        <f>IF(IFERROR(MATCH($B31,Feiertage!$B$2:$B$49,0)&gt;0,0),1,0)</f>
        <v>0</v>
      </c>
      <c r="AW31" s="22">
        <f>IFERROR(HLOOKUP(DAY(B31),Urlaub!$C$4:$AG$16,MONTH(B31)+1,FALSE),0)</f>
        <v>0</v>
      </c>
      <c r="AX31" s="38">
        <f t="shared" si="10"/>
        <v>0</v>
      </c>
      <c r="AY31" s="7">
        <f t="shared" si="4"/>
        <v>2.0833333333333332E-2</v>
      </c>
      <c r="AZ31" s="5">
        <f t="shared" si="5"/>
        <v>0</v>
      </c>
      <c r="BA31" s="39">
        <f t="shared" si="7"/>
        <v>0</v>
      </c>
      <c r="BB31" s="5">
        <f t="shared" si="6"/>
        <v>0.33333333333333331</v>
      </c>
    </row>
    <row r="32" spans="2:54" ht="18.75" x14ac:dyDescent="0.3">
      <c r="B32" s="43">
        <f t="shared" si="8"/>
        <v>41878</v>
      </c>
      <c r="C32" s="44">
        <f t="shared" si="9"/>
        <v>41878</v>
      </c>
      <c r="D32" s="3"/>
      <c r="E32" s="62"/>
      <c r="F32" s="62"/>
      <c r="G32" s="62"/>
      <c r="H32" s="62"/>
      <c r="I32" s="62" t="str">
        <f t="shared" ca="1" si="0"/>
        <v/>
      </c>
      <c r="J32" s="52">
        <f>IF(AND(Feiertage!$G$2&lt;&gt;"ja",AV32=1),IF(AZ32&gt;0,BB32+AZ32,BB32),IF(AZ32=0,0, IF(I32&lt;&gt;"",AZ32-I32,AZ32)))+AX32</f>
        <v>0</v>
      </c>
      <c r="K32" s="62">
        <f>IF(AV32=0,BB32,IF(Feiertage!$G$2="ja","00:00",BB32))</f>
        <v>0.33333333333333331</v>
      </c>
      <c r="L32" s="52" t="str">
        <f t="shared" ca="1" si="11"/>
        <v/>
      </c>
      <c r="M32" s="50" t="str">
        <f>IF(AV32=1,AU32,IF(LOWER(AW32)=LOWER(Urlaub!$W$19),Urlaub!$S$19,
IF(LOWER(AW32)=LOWER(Urlaub!$W$20),Urlaub!$S$20,
IF(LOWER(AW32)=LOWER(Urlaub!$W$21),Urlaub!$S$21,
IF(LOWER(AW32)=LOWER(Urlaub!$W$22),Urlaub!$S$22,
IF(LOWER(AW32)=LOWER(Urlaub!$W$23),Urlaub!$S$23,
IF(LOWER(AW32)=LOWER(Urlaub!$W$24),Urlaub!$S$24,""))))))&amp;IF(AND(EXACT(LOWER(AW32),AW32),AW32&lt;&gt;0)," 1/2",""))</f>
        <v/>
      </c>
      <c r="N32" s="53">
        <f t="shared" si="2"/>
        <v>0</v>
      </c>
      <c r="AU32" t="str">
        <f>IF(AV32=1,VLOOKUP($B32,Feiertage!$B$2:$D$49,3,FALSE),"")</f>
        <v/>
      </c>
      <c r="AV32">
        <f>IF(IFERROR(MATCH($B32,Feiertage!$B$2:$B$49,0)&gt;0,0),1,0)</f>
        <v>0</v>
      </c>
      <c r="AW32" s="22">
        <f>IFERROR(HLOOKUP(DAY(B32),Urlaub!$C$4:$AG$16,MONTH(B32)+1,FALSE),0)</f>
        <v>0</v>
      </c>
      <c r="AX32" s="38">
        <f t="shared" si="10"/>
        <v>0</v>
      </c>
      <c r="AY32" s="7">
        <f t="shared" si="4"/>
        <v>2.0833333333333332E-2</v>
      </c>
      <c r="AZ32" s="5">
        <f t="shared" si="5"/>
        <v>0</v>
      </c>
      <c r="BA32" s="39">
        <f t="shared" si="7"/>
        <v>0</v>
      </c>
      <c r="BB32" s="5">
        <f t="shared" si="6"/>
        <v>0.33333333333333331</v>
      </c>
    </row>
    <row r="33" spans="2:54" ht="18.75" x14ac:dyDescent="0.3">
      <c r="B33" s="43">
        <f>IF(B32&lt;&gt;"",IF(MONTH($B$1)&lt;MONTH(B32+1),"",B32+1),"")</f>
        <v>41879</v>
      </c>
      <c r="C33" s="44">
        <f t="shared" si="9"/>
        <v>41879</v>
      </c>
      <c r="D33" s="3"/>
      <c r="E33" s="62"/>
      <c r="F33" s="62"/>
      <c r="G33" s="62"/>
      <c r="H33" s="62"/>
      <c r="I33" s="62" t="str">
        <f t="shared" ca="1" si="0"/>
        <v/>
      </c>
      <c r="J33" s="52">
        <f>IF(B33&lt;&gt;"",IF(AND(Feiertage!$G$2&lt;&gt;"ja",AV33=1),IF(AZ33&gt;0,BB33+AZ33,BB33),IF(AZ33=0,0, IF(I33&lt;&gt;"",AZ33-I33,AZ33)))+AX33,"")</f>
        <v>0</v>
      </c>
      <c r="K33" s="62">
        <f>IF(B33&lt;&gt;"",IF(AV33=0,BB33,IF(Feiertage!$G$2="ja","00:00",BB33)),"")</f>
        <v>0.33333333333333331</v>
      </c>
      <c r="L33" s="52" t="str">
        <f t="shared" ca="1" si="11"/>
        <v/>
      </c>
      <c r="M33" s="50" t="str">
        <f>IF(AV33=1,AU33,IF(LOWER(AW33)=LOWER(Urlaub!$W$19),Urlaub!$S$19,
IF(LOWER(AW33)=LOWER(Urlaub!$W$20),Urlaub!$S$20,
IF(LOWER(AW33)=LOWER(Urlaub!$W$21),Urlaub!$S$21,
IF(LOWER(AW33)=LOWER(Urlaub!$W$22),Urlaub!$S$22,
IF(LOWER(AW33)=LOWER(Urlaub!$W$23),Urlaub!$S$23,
IF(LOWER(AW33)=LOWER(Urlaub!$W$24),Urlaub!$S$24,""))))))&amp;IF(AND(EXACT(LOWER(AW33),AW33),AW33&lt;&gt;0)," 1/2",""))</f>
        <v/>
      </c>
      <c r="N33" s="53">
        <f>IF(J33&lt;&gt;"",24*J33*IF(WEEKDAY(C33)=WEEKDAY($P$6),$S$6,
IF(WEEKDAY(C33)=WEEKDAY($P$7),$S$7,
IF(WEEKDAY(C33)=WEEKDAY($P$8),$S$8,
IF(WEEKDAY(C33)=WEEKDAY($P$9),$S$9,
IF(WEEKDAY(C33)=WEEKDAY($P$10),$S$10,
IF(WEEKDAY(C33)=WEEKDAY($P$11),$S$11,
IF(WEEKDAY(C33)=WEEKDAY($P$12),$S$12,""))))))),"")</f>
        <v>0</v>
      </c>
      <c r="AU33" t="str">
        <f>IF(AV33=1,VLOOKUP($B33,Feiertage!$B$2:$D$49,3,FALSE),"")</f>
        <v/>
      </c>
      <c r="AV33">
        <f>IF(IFERROR(MATCH($B33,Feiertage!$B$2:$B$49,0)&gt;0,0),1,0)</f>
        <v>0</v>
      </c>
      <c r="AW33" s="22">
        <f>IFERROR(HLOOKUP(DAY(B33),Urlaub!$C$4:$AG$16,MONTH(B33)+1,FALSE),0)</f>
        <v>0</v>
      </c>
      <c r="AX33" s="38">
        <f t="shared" si="10"/>
        <v>0</v>
      </c>
      <c r="AY33" s="7">
        <f t="shared" si="4"/>
        <v>2.0833333333333301E-2</v>
      </c>
      <c r="AZ33" s="5">
        <f t="shared" si="5"/>
        <v>0</v>
      </c>
      <c r="BA33" s="39">
        <f t="shared" si="7"/>
        <v>0</v>
      </c>
      <c r="BB33" s="5">
        <f t="shared" si="6"/>
        <v>0.33333333333333331</v>
      </c>
    </row>
    <row r="34" spans="2:54" ht="18.75" x14ac:dyDescent="0.3">
      <c r="B34" s="43">
        <f t="shared" ref="B34:B35" si="12">IF(B33&lt;&gt;"",IF(MONTH($B$1)&lt;MONTH(B33+1),"",B33+1),"")</f>
        <v>41880</v>
      </c>
      <c r="C34" s="44">
        <f t="shared" si="9"/>
        <v>41880</v>
      </c>
      <c r="D34" s="3"/>
      <c r="E34" s="62"/>
      <c r="F34" s="62"/>
      <c r="G34" s="62"/>
      <c r="H34" s="62"/>
      <c r="I34" s="62" t="str">
        <f t="shared" ca="1" si="0"/>
        <v/>
      </c>
      <c r="J34" s="52">
        <f>IF(B34&lt;&gt;"",IF(AND(Feiertage!$G$2&lt;&gt;"ja",AV34=1),IF(AZ34&gt;0,BB34+AZ34,BB34),IF(AZ34=0,0, IF(I34&lt;&gt;"",AZ34-I34,AZ34)))+AX34,"")</f>
        <v>0</v>
      </c>
      <c r="K34" s="62">
        <f>IF(B34&lt;&gt;"",IF(AV34=0,BB34,IF(Feiertage!$G$2="ja","00:00",BB34)),"")</f>
        <v>0.33333333333333331</v>
      </c>
      <c r="L34" s="52" t="str">
        <f t="shared" ca="1" si="11"/>
        <v/>
      </c>
      <c r="M34" s="50" t="str">
        <f>IF(AV34=1,AU34,IF(LOWER(AW34)=LOWER(Urlaub!$W$19),Urlaub!$S$19,
IF(LOWER(AW34)=LOWER(Urlaub!$W$20),Urlaub!$S$20,
IF(LOWER(AW34)=LOWER(Urlaub!$W$21),Urlaub!$S$21,
IF(LOWER(AW34)=LOWER(Urlaub!$W$22),Urlaub!$S$22,
IF(LOWER(AW34)=LOWER(Urlaub!$W$23),Urlaub!$S$23,
IF(LOWER(AW34)=LOWER(Urlaub!$W$24),Urlaub!$S$24,""))))))&amp;IF(AND(EXACT(LOWER(AW34),AW34),AW34&lt;&gt;0)," 1/2",""))</f>
        <v/>
      </c>
      <c r="N34" s="53">
        <f>IF(J34&lt;&gt;"",24*J34*IF(WEEKDAY(C34)=WEEKDAY($P$6),$S$6,
IF(WEEKDAY(C34)=WEEKDAY($P$7),$S$7,
IF(WEEKDAY(C34)=WEEKDAY($P$8),$S$8,
IF(WEEKDAY(C34)=WEEKDAY($P$9),$S$9,
IF(WEEKDAY(C34)=WEEKDAY($P$10),$S$10,
IF(WEEKDAY(C34)=WEEKDAY($P$11),$S$11,
IF(WEEKDAY(C34)=WEEKDAY($P$12),$S$12,""))))))),"")</f>
        <v>0</v>
      </c>
      <c r="AU34" t="str">
        <f>IF(AV34=1,VLOOKUP($B34,Feiertage!$B$2:$D$49,3,FALSE),"")</f>
        <v/>
      </c>
      <c r="AV34">
        <f>IF(IFERROR(MATCH($B34,Feiertage!$B$2:$B$49,0)&gt;0,0),1,0)</f>
        <v>0</v>
      </c>
      <c r="AW34" s="22">
        <f>IFERROR(HLOOKUP(DAY(B34),Urlaub!$C$4:$AG$16,MONTH(B34)+1,FALSE),0)</f>
        <v>0</v>
      </c>
      <c r="AX34" s="38">
        <f t="shared" si="10"/>
        <v>0</v>
      </c>
      <c r="AY34" s="7">
        <f t="shared" si="4"/>
        <v>2.0833333333333301E-2</v>
      </c>
      <c r="AZ34" s="5">
        <f t="shared" si="5"/>
        <v>0</v>
      </c>
      <c r="BA34" s="39">
        <f t="shared" si="7"/>
        <v>0</v>
      </c>
      <c r="BB34" s="5">
        <f t="shared" si="6"/>
        <v>0.33333333333333331</v>
      </c>
    </row>
    <row r="35" spans="2:54" ht="19.5" thickBot="1" x14ac:dyDescent="0.35">
      <c r="B35" s="70">
        <f t="shared" si="12"/>
        <v>41881</v>
      </c>
      <c r="C35" s="71">
        <f t="shared" si="9"/>
        <v>41881</v>
      </c>
      <c r="D35" s="72"/>
      <c r="E35" s="73"/>
      <c r="F35" s="73"/>
      <c r="G35" s="73"/>
      <c r="H35" s="74"/>
      <c r="I35" s="74" t="str">
        <f t="shared" ca="1" si="0"/>
        <v/>
      </c>
      <c r="J35" s="76">
        <f>IF(B35&lt;&gt;"",IF(AND(Feiertage!$G$2&lt;&gt;"ja",AV35=1),IF(AZ35&gt;0,BB35+AZ35,BB35),IF(AZ35=0,0, IF(I35&lt;&gt;"",AZ35-I35,AZ35)))+AX35,"")</f>
        <v>0</v>
      </c>
      <c r="K35" s="73">
        <f>IF(B35&lt;&gt;"",IF(AV35=0,BB35,IF(Feiertage!$G$2="ja","00:00",BB35)),"")</f>
        <v>0.33333333333333331</v>
      </c>
      <c r="L35" s="52" t="str">
        <f t="shared" ca="1" si="11"/>
        <v/>
      </c>
      <c r="M35" s="50" t="str">
        <f>IF(AV35=1,AU35,IF(LOWER(AW35)=LOWER(Urlaub!$W$19),Urlaub!$S$19,
IF(LOWER(AW35)=LOWER(Urlaub!$W$20),Urlaub!$S$20,
IF(LOWER(AW35)=LOWER(Urlaub!$W$21),Urlaub!$S$21,
IF(LOWER(AW35)=LOWER(Urlaub!$W$22),Urlaub!$S$22,
IF(LOWER(AW35)=LOWER(Urlaub!$W$23),Urlaub!$S$23,
IF(LOWER(AW35)=LOWER(Urlaub!$W$24),Urlaub!$S$24,""))))))&amp;IF(AND(EXACT(LOWER(AW35),AW35),AW35&lt;&gt;0)," 1/2",""))</f>
        <v/>
      </c>
      <c r="N35" s="77">
        <f>IF(J35&lt;&gt;"",24*J35*IF(WEEKDAY(C35)=WEEKDAY($P$6),$S$6,
IF(WEEKDAY(C35)=WEEKDAY($P$7),$S$7,
IF(WEEKDAY(C35)=WEEKDAY($P$8),$S$8,
IF(WEEKDAY(C35)=WEEKDAY($P$9),$S$9,
IF(WEEKDAY(C35)=WEEKDAY($P$10),$S$10,
IF(WEEKDAY(C35)=WEEKDAY($P$11),$S$11,
IF(WEEKDAY(C35)=WEEKDAY($P$12),$S$12,""))))))),"")</f>
        <v>0</v>
      </c>
      <c r="AU35" t="str">
        <f>IF(AV35=1,VLOOKUP($B35,Feiertage!$B$2:$D$49,3,FALSE),"")</f>
        <v/>
      </c>
      <c r="AV35">
        <f>IF(IFERROR(MATCH($B35,Feiertage!$B$2:$B$49,0)&gt;0,0),1,0)</f>
        <v>0</v>
      </c>
      <c r="AW35" s="22">
        <f>IFERROR(HLOOKUP(DAY(B35),Urlaub!$C$4:$AG$16,MONTH(B35)+1,FALSE),0)</f>
        <v>0</v>
      </c>
      <c r="AX35" s="38">
        <f t="shared" si="10"/>
        <v>0</v>
      </c>
      <c r="AY35" s="7">
        <f t="shared" si="4"/>
        <v>2.0833333333333301E-2</v>
      </c>
      <c r="AZ35" s="5">
        <f t="shared" si="5"/>
        <v>0</v>
      </c>
      <c r="BA35" s="39">
        <f t="shared" si="7"/>
        <v>0</v>
      </c>
      <c r="BB35" s="5">
        <f t="shared" si="6"/>
        <v>0.33333333333333331</v>
      </c>
    </row>
    <row r="36" spans="2:54" ht="5.25" customHeight="1" thickTop="1" thickBot="1" x14ac:dyDescent="0.3">
      <c r="B36" s="1"/>
      <c r="H36" s="75"/>
      <c r="I36" s="75"/>
      <c r="J36" s="75"/>
      <c r="K36" s="2"/>
      <c r="L36" s="75"/>
    </row>
    <row r="37" spans="2:54" ht="24" thickBot="1" x14ac:dyDescent="0.4">
      <c r="B37" s="139" t="s">
        <v>74</v>
      </c>
      <c r="C37" s="140"/>
      <c r="D37" s="140"/>
      <c r="E37" s="140"/>
      <c r="F37" s="140"/>
      <c r="G37" s="140"/>
      <c r="H37" s="140"/>
      <c r="I37" s="141"/>
      <c r="J37" s="47">
        <f>SUM(J5:J35)</f>
        <v>0</v>
      </c>
      <c r="K37" s="47">
        <f t="shared" ref="K37" si="13">SUM(K5:K35)</f>
        <v>7.6666666666666634</v>
      </c>
      <c r="L37" s="47">
        <f ca="1">SUM(L5:L35)</f>
        <v>-2.333333333333333</v>
      </c>
      <c r="M37" s="47">
        <f>SUM(AX5:AX35)</f>
        <v>0</v>
      </c>
      <c r="N37" s="48">
        <f t="shared" ref="N37" si="14">SUM(N5:N35)</f>
        <v>0</v>
      </c>
    </row>
    <row r="38" spans="2:54" x14ac:dyDescent="0.25">
      <c r="B38" s="1"/>
    </row>
    <row r="39" spans="2:54" x14ac:dyDescent="0.25">
      <c r="B39" s="1"/>
    </row>
  </sheetData>
  <sheetProtection algorithmName="SHA-512" hashValue="TloUvxUfxW5J0dpbDcQV/a3KXbhcl7PxZ1Lcc6m3T+pvHTPErunW34YkyTJvd+KIqSredylOkC1infenHSOwRA==" saltValue="0kmVcSXWupiprJkLoMAzww==" spinCount="100000" sheet="1" selectLockedCells="1"/>
  <customSheetViews>
    <customSheetView guid="{4652D98A-10A8-4A41-BE02-6BC110D8BB01}" showGridLines="0">
      <pane xSplit="4" ySplit="4" topLeftCell="E5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7">
    <mergeCell ref="E3:H3"/>
    <mergeCell ref="B37:I37"/>
    <mergeCell ref="B1:N1"/>
    <mergeCell ref="U4:V4"/>
    <mergeCell ref="P4:S4"/>
    <mergeCell ref="P15:V15"/>
    <mergeCell ref="P16:V18"/>
  </mergeCells>
  <conditionalFormatting sqref="B5:N35">
    <cfRule type="expression" dxfId="25" priority="2" stopIfTrue="1">
      <formula>WEEKDAY($B5,2)&gt;5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C8762A7-4923-4CC3-81B1-0E866EB94955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B5:N35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B39"/>
  <sheetViews>
    <sheetView showGridLines="0" workbookViewId="0">
      <pane xSplit="4" ySplit="4" topLeftCell="E5" activePane="bottomRight" state="frozen"/>
      <selection activeCell="B1" sqref="B1:N1"/>
      <selection pane="topRight" activeCell="B1" sqref="B1:N1"/>
      <selection pane="bottomLeft" activeCell="B1" sqref="B1:N1"/>
      <selection pane="bottomRight" activeCell="E5" sqref="E5"/>
    </sheetView>
  </sheetViews>
  <sheetFormatPr baseColWidth="10" defaultRowHeight="15" x14ac:dyDescent="0.25"/>
  <cols>
    <col min="1" max="1" width="2.28515625" customWidth="1"/>
    <col min="2" max="2" width="8.85546875" customWidth="1"/>
    <col min="3" max="3" width="7.28515625" customWidth="1"/>
    <col min="4" max="4" width="1" customWidth="1"/>
    <col min="5" max="8" width="7.7109375" customWidth="1"/>
    <col min="9" max="9" width="8" customWidth="1"/>
    <col min="10" max="10" width="12.42578125" customWidth="1"/>
    <col min="11" max="11" width="12.140625" customWidth="1"/>
    <col min="12" max="12" width="12.85546875" customWidth="1"/>
    <col min="13" max="13" width="16.5703125" bestFit="1" customWidth="1"/>
    <col min="14" max="14" width="17.85546875" customWidth="1"/>
    <col min="15" max="15" width="4.28515625" customWidth="1"/>
    <col min="16" max="16" width="18.7109375" customWidth="1"/>
    <col min="17" max="17" width="12.28515625" customWidth="1"/>
    <col min="18" max="18" width="11.140625" customWidth="1"/>
    <col min="19" max="19" width="15.7109375" customWidth="1"/>
    <col min="20" max="20" width="4.140625" customWidth="1"/>
    <col min="21" max="21" width="29.140625" customWidth="1"/>
    <col min="22" max="22" width="16" customWidth="1"/>
    <col min="47" max="55" width="13.7109375" customWidth="1"/>
  </cols>
  <sheetData>
    <row r="1" spans="1:54" ht="24.75" customHeight="1" thickBot="1" x14ac:dyDescent="0.5">
      <c r="A1" s="117">
        <v>41639</v>
      </c>
      <c r="B1" s="142">
        <f>EDATE(Januar!$A$1,8)</f>
        <v>41882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54" s="21" customFormat="1" ht="24.75" customHeight="1" thickBot="1" x14ac:dyDescent="0.5">
      <c r="B2" s="59"/>
      <c r="C2" s="59"/>
      <c r="D2" s="59"/>
      <c r="E2" s="60"/>
      <c r="F2" s="60"/>
      <c r="G2" s="60"/>
      <c r="H2" s="60"/>
      <c r="I2" s="59"/>
      <c r="J2" s="59"/>
      <c r="K2" s="59"/>
      <c r="L2" s="59"/>
      <c r="M2" s="59"/>
      <c r="N2" s="59"/>
    </row>
    <row r="3" spans="1:54" ht="19.5" thickBot="1" x14ac:dyDescent="0.35">
      <c r="B3" s="58"/>
      <c r="C3" s="58"/>
      <c r="D3" s="58"/>
      <c r="E3" s="145" t="s">
        <v>0</v>
      </c>
      <c r="F3" s="146"/>
      <c r="G3" s="146"/>
      <c r="H3" s="147"/>
      <c r="I3" s="58"/>
      <c r="J3" s="58"/>
      <c r="K3" s="58"/>
      <c r="L3" s="58"/>
      <c r="M3" s="58"/>
      <c r="N3" s="58"/>
      <c r="O3" s="2"/>
    </row>
    <row r="4" spans="1:54" ht="19.5" thickBot="1" x14ac:dyDescent="0.35">
      <c r="B4" s="41" t="s">
        <v>4</v>
      </c>
      <c r="C4" s="41" t="s">
        <v>5</v>
      </c>
      <c r="D4" s="42"/>
      <c r="E4" s="41" t="s">
        <v>1</v>
      </c>
      <c r="F4" s="41" t="s">
        <v>2</v>
      </c>
      <c r="G4" s="41" t="s">
        <v>1</v>
      </c>
      <c r="H4" s="41" t="s">
        <v>2</v>
      </c>
      <c r="I4" s="41" t="s">
        <v>3</v>
      </c>
      <c r="J4" s="41" t="s">
        <v>7</v>
      </c>
      <c r="K4" s="41" t="s">
        <v>6</v>
      </c>
      <c r="L4" s="41" t="s">
        <v>11</v>
      </c>
      <c r="M4" s="41" t="s">
        <v>56</v>
      </c>
      <c r="N4" s="41" t="s">
        <v>71</v>
      </c>
      <c r="O4" s="20"/>
      <c r="P4" s="150" t="s">
        <v>10</v>
      </c>
      <c r="Q4" s="151"/>
      <c r="R4" s="151"/>
      <c r="S4" s="152"/>
      <c r="U4" s="148" t="s">
        <v>81</v>
      </c>
      <c r="V4" s="149"/>
      <c r="AU4" s="36" t="s">
        <v>46</v>
      </c>
      <c r="AV4" s="36" t="s">
        <v>46</v>
      </c>
      <c r="AW4" s="37" t="s">
        <v>66</v>
      </c>
      <c r="AX4" s="36" t="s">
        <v>67</v>
      </c>
      <c r="AY4" s="6" t="s">
        <v>3</v>
      </c>
      <c r="AZ4" s="36" t="s">
        <v>7</v>
      </c>
      <c r="BA4" s="36" t="s">
        <v>72</v>
      </c>
      <c r="BB4" s="6" t="s">
        <v>6</v>
      </c>
    </row>
    <row r="5" spans="1:54" ht="21.75" thickBot="1" x14ac:dyDescent="0.4">
      <c r="B5" s="45">
        <f>B1</f>
        <v>41882</v>
      </c>
      <c r="C5" s="46">
        <f>B5</f>
        <v>41882</v>
      </c>
      <c r="D5" s="3"/>
      <c r="E5" s="61"/>
      <c r="F5" s="61"/>
      <c r="G5" s="61"/>
      <c r="H5" s="61"/>
      <c r="I5" s="61" t="str">
        <f t="shared" ref="I5:I35" ca="1" si="0">IF(AZ5=0,"",IF(AY5=0,"",IF(OR(B5&lt;=TODAY(),AZ5),AY5,"")))</f>
        <v/>
      </c>
      <c r="J5" s="49">
        <f>IF(AND(Feiertage!$G$2&lt;&gt;"ja",AV5=1),IF(AZ5&gt;0,BB5+AZ5,BB5),IF(AZ5=0,0, IF(I5&lt;&gt;"",AZ5-I5,AZ5)))+AX5</f>
        <v>0</v>
      </c>
      <c r="K5" s="61">
        <f>IF(AV5=0,BB5,IF(Feiertage!$G$2="ja","00:00",BB5))</f>
        <v>0</v>
      </c>
      <c r="L5" s="52" t="str">
        <f t="shared" ref="L5:L18" ca="1" si="1">IF(OR(B5&lt;=TODAY(),J5,AW5="G"),IF(J5&lt;&gt;"",IF(J5-K5=0,"",J5-K5),IF(K5&lt;&gt;"",-K5,"")),"")</f>
        <v/>
      </c>
      <c r="M5" s="50" t="str">
        <f>IF(AV5=1,AU5,IF(LOWER(AW5)=LOWER(Urlaub!$W$19),Urlaub!$S$19,
IF(LOWER(AW5)=LOWER(Urlaub!$W$20),Urlaub!$S$20,
IF(LOWER(AW5)=LOWER(Urlaub!$W$21),Urlaub!$S$21,
IF(LOWER(AW5)=LOWER(Urlaub!$W$22),Urlaub!$S$22,
IF(LOWER(AW5)=LOWER(Urlaub!$W$23),Urlaub!$S$23,
IF(LOWER(AW5)=LOWER(Urlaub!$W$24),Urlaub!$S$24,""))))))&amp;IF(AND(EXACT(LOWER(AW5),AW5),AW5&lt;&gt;0)," 1/2",""))</f>
        <v/>
      </c>
      <c r="N5" s="51">
        <f t="shared" ref="N5:N32" si="2">24*J5*IF(WEEKDAY(C5)=WEEKDAY($P$6),$S$6,
IF(WEEKDAY(C5)=WEEKDAY($P$7),$S$7,
IF(WEEKDAY(C5)=WEEKDAY($P$8),$S$8,
IF(WEEKDAY(C5)=WEEKDAY($P$9),$S$9,
IF(WEEKDAY(C5)=WEEKDAY($P$10),$S$10,
IF(WEEKDAY(C5)=WEEKDAY($P$11),$S$11,
IF(WEEKDAY(C5)=WEEKDAY($P$12),$S$12,"")))))))</f>
        <v>0</v>
      </c>
      <c r="P5" s="41" t="s">
        <v>8</v>
      </c>
      <c r="Q5" s="41" t="s">
        <v>6</v>
      </c>
      <c r="R5" s="41" t="s">
        <v>3</v>
      </c>
      <c r="S5" s="41" t="s">
        <v>70</v>
      </c>
      <c r="U5" s="112" t="str">
        <f xml:space="preserve"> "Übertrag aus " &amp; IF( MONTH(B1)=1, YEAR(B1)-1, TEXT(EDATE(B1,-1),"MMMM"))</f>
        <v>Übertrag aus August</v>
      </c>
      <c r="V5" s="130">
        <f ca="1">IF(MONTH(B1)&gt;1,INDIRECT(TEXT(EDATE(B1,-1),"MMMM")&amp;"!v10"),"")</f>
        <v>-50.999999999999986</v>
      </c>
      <c r="AU5" t="str">
        <f>IF(AV5=1,VLOOKUP($B5,Feiertage!$B$2:$D$49,3,FALSE),"")</f>
        <v/>
      </c>
      <c r="AV5">
        <f>IF(IFERROR(MATCH($B5,Feiertage!$B$2:$B$49,0)&gt;0,0),1,0)</f>
        <v>0</v>
      </c>
      <c r="AW5" s="22">
        <f>IFERROR(HLOOKUP(DAY(B5),Urlaub!$C$4:$AG$16,MONTH(B5)+1,FALSE),0)</f>
        <v>0</v>
      </c>
      <c r="AX5" s="38">
        <f t="shared" ref="AX5:AX16" si="3">IFERROR(IF(AW5=0,0,IF(EXACT(LOWER(AW5),AW5),0.5*BB5,BB5)),"")</f>
        <v>0</v>
      </c>
      <c r="AY5" s="7">
        <f t="shared" ref="AY5:AY35" si="4">IFERROR(IF(WEEKDAY(C5)=WEEKDAY($P$6),$R$6,
IF(WEEKDAY(C5)=WEEKDAY($P$7),$R$7,
IF(WEEKDAY(C5)=WEEKDAY($P$8),$R$8,
IF(WEEKDAY(C5)=WEEKDAY($P$9),$R$9,
IF(WEEKDAY(C5)=WEEKDAY($P$10),$R$10,
IF(WEEKDAY(C5)=WEEKDAY($P$11),$R$11,
IF(WEEKDAY(C5)=WEEKDAY($P$12),$R$12,""))))))),"")</f>
        <v>2.0833333333333301E-2</v>
      </c>
      <c r="AZ5" s="5">
        <f t="shared" ref="AZ5:AZ35" si="5">IF(F5,IF(E5,IF(E5&gt;F5,F5+"24:00"-E5,F5-E5),0),0)+IF(G5,IF(G5,IF(G5&gt;H5,H5+"24:00"-G5,H5-G5),0),0)</f>
        <v>0</v>
      </c>
      <c r="BA5" s="39">
        <f>AZ5*24</f>
        <v>0</v>
      </c>
      <c r="BB5" s="5">
        <f t="shared" ref="BB5:BB35" si="6">IFERROR(IF(WEEKDAY(C5)=WEEKDAY($P$6),$Q$6,
IF(WEEKDAY(C5)=WEEKDAY($P$7),$Q$7,
IF(WEEKDAY(C5)=WEEKDAY($P$8),$Q$8,
IF(WEEKDAY(C5)=WEEKDAY($P$9),$Q$9,
IF(WEEKDAY(C5)=WEEKDAY($P$10),$Q$10,
IF(WEEKDAY(C5)=WEEKDAY($P$11),$Q$11,
IF(WEEKDAY(C5)=WEEKDAY($P$12),$Q$12,""))))))),"")</f>
        <v>0</v>
      </c>
    </row>
    <row r="6" spans="1:54" ht="21" x14ac:dyDescent="0.35">
      <c r="B6" s="43">
        <f>B5+1</f>
        <v>41883</v>
      </c>
      <c r="C6" s="44">
        <f>B6</f>
        <v>41883</v>
      </c>
      <c r="D6" s="3"/>
      <c r="E6" s="62"/>
      <c r="F6" s="62"/>
      <c r="G6" s="62"/>
      <c r="H6" s="62"/>
      <c r="I6" s="62" t="str">
        <f t="shared" ca="1" si="0"/>
        <v/>
      </c>
      <c r="J6" s="52">
        <f>IF(AND(Feiertage!$G$2&lt;&gt;"ja",AV6=1),IF(AZ6&gt;0,BB6+AZ6,BB6),IF(AZ6=0,0, IF(I6&lt;&gt;"",AZ6-I6,AZ6)))+AX6</f>
        <v>0</v>
      </c>
      <c r="K6" s="62">
        <f>IF(AV6=0,BB6,IF(Feiertage!$G$2="ja","00:00",BB6))</f>
        <v>0</v>
      </c>
      <c r="L6" s="52" t="str">
        <f t="shared" ca="1" si="1"/>
        <v/>
      </c>
      <c r="M6" s="50" t="str">
        <f>IF(AV6=1,AU6,IF(LOWER(AW6)=LOWER(Urlaub!$W$19),Urlaub!$S$19,
IF(LOWER(AW6)=LOWER(Urlaub!$W$20),Urlaub!$S$20,
IF(LOWER(AW6)=LOWER(Urlaub!$W$21),Urlaub!$S$21,
IF(LOWER(AW6)=LOWER(Urlaub!$W$22),Urlaub!$S$22,
IF(LOWER(AW6)=LOWER(Urlaub!$W$23),Urlaub!$S$23,
IF(LOWER(AW6)=LOWER(Urlaub!$W$24),Urlaub!$S$24,""))))))&amp;IF(AND(EXACT(LOWER(AW6),AW6),AW6&lt;&gt;0)," 1/2",""))</f>
        <v/>
      </c>
      <c r="N6" s="53">
        <f t="shared" si="2"/>
        <v>0</v>
      </c>
      <c r="P6" s="54">
        <v>41639</v>
      </c>
      <c r="Q6" s="63">
        <v>0.33333333333333331</v>
      </c>
      <c r="R6" s="63">
        <v>2.0833333333333332E-2</v>
      </c>
      <c r="S6" s="64"/>
      <c r="U6" s="114" t="s">
        <v>6</v>
      </c>
      <c r="V6" s="113">
        <f>SUM(K5:K35)</f>
        <v>6.6666666666666643</v>
      </c>
      <c r="AU6" t="str">
        <f>IF(AV6=1,VLOOKUP($B6,Feiertage!$B$2:$D$49,3,FALSE),"")</f>
        <v/>
      </c>
      <c r="AV6">
        <f>IF(IFERROR(MATCH($B6,Feiertage!$B$2:$B$49,0)&gt;0,0),1,0)</f>
        <v>0</v>
      </c>
      <c r="AW6" s="22">
        <f>IFERROR(HLOOKUP(DAY(B6),Urlaub!$C$4:$AG$16,MONTH(B6)+1,FALSE),0)</f>
        <v>0</v>
      </c>
      <c r="AX6" s="38">
        <f t="shared" si="3"/>
        <v>0</v>
      </c>
      <c r="AY6" s="7">
        <f t="shared" si="4"/>
        <v>2.0833333333333301E-2</v>
      </c>
      <c r="AZ6" s="5">
        <f t="shared" si="5"/>
        <v>0</v>
      </c>
      <c r="BA6" s="39">
        <f t="shared" ref="BA6:BA35" si="7">AZ6*24</f>
        <v>0</v>
      </c>
      <c r="BB6" s="5">
        <f t="shared" si="6"/>
        <v>0</v>
      </c>
    </row>
    <row r="7" spans="1:54" ht="21" x14ac:dyDescent="0.35">
      <c r="B7" s="43">
        <f t="shared" ref="B7:B32" si="8">B6+1</f>
        <v>41884</v>
      </c>
      <c r="C7" s="44">
        <f t="shared" ref="C7:C35" si="9">B7</f>
        <v>41884</v>
      </c>
      <c r="D7" s="3"/>
      <c r="E7" s="62"/>
      <c r="F7" s="62"/>
      <c r="G7" s="62"/>
      <c r="H7" s="62"/>
      <c r="I7" s="62" t="str">
        <f t="shared" ca="1" si="0"/>
        <v/>
      </c>
      <c r="J7" s="52">
        <f>IF(AND(Feiertage!$G$2&lt;&gt;"ja",AV7=1),IF(AZ7&gt;0,BB7+AZ7,BB7),IF(AZ7=0,0, IF(I7&lt;&gt;"",AZ7-I7,AZ7)))+AX7</f>
        <v>0</v>
      </c>
      <c r="K7" s="62">
        <f>IF(AV7=0,BB7,IF(Feiertage!$G$2="ja","00:00",BB7))</f>
        <v>0.33333333333333331</v>
      </c>
      <c r="L7" s="52" t="str">
        <f t="shared" ca="1" si="1"/>
        <v/>
      </c>
      <c r="M7" s="50" t="str">
        <f>IF(AV7=1,AU7,IF(LOWER(AW7)=LOWER(Urlaub!$W$19),Urlaub!$S$19,
IF(LOWER(AW7)=LOWER(Urlaub!$W$20),Urlaub!$S$20,
IF(LOWER(AW7)=LOWER(Urlaub!$W$21),Urlaub!$S$21,
IF(LOWER(AW7)=LOWER(Urlaub!$W$22),Urlaub!$S$22,
IF(LOWER(AW7)=LOWER(Urlaub!$W$23),Urlaub!$S$23,
IF(LOWER(AW7)=LOWER(Urlaub!$W$24),Urlaub!$S$24,""))))))&amp;IF(AND(EXACT(LOWER(AW7),AW7),AW7&lt;&gt;0)," 1/2",""))</f>
        <v/>
      </c>
      <c r="N7" s="53">
        <f t="shared" si="2"/>
        <v>0</v>
      </c>
      <c r="P7" s="55">
        <v>41640</v>
      </c>
      <c r="Q7" s="65">
        <v>0.33333333333333331</v>
      </c>
      <c r="R7" s="63">
        <v>2.0833333333333332E-2</v>
      </c>
      <c r="S7" s="66"/>
      <c r="U7" s="114" t="s">
        <v>7</v>
      </c>
      <c r="V7" s="113">
        <f>SUM(J5:J35)</f>
        <v>0</v>
      </c>
      <c r="AU7" t="str">
        <f>IF(AV7=1,VLOOKUP($B7,Feiertage!$B$2:$D$49,3,FALSE),"")</f>
        <v/>
      </c>
      <c r="AV7">
        <f>IF(IFERROR(MATCH($B7,Feiertage!$B$2:$B$49,0)&gt;0,0),1,0)</f>
        <v>0</v>
      </c>
      <c r="AW7" s="22">
        <f>IFERROR(HLOOKUP(DAY(B7),Urlaub!$C$4:$AG$16,MONTH(B7)+1,FALSE),0)</f>
        <v>0</v>
      </c>
      <c r="AX7" s="38">
        <f t="shared" si="3"/>
        <v>0</v>
      </c>
      <c r="AY7" s="7">
        <f t="shared" si="4"/>
        <v>2.0833333333333332E-2</v>
      </c>
      <c r="AZ7" s="5">
        <f t="shared" si="5"/>
        <v>0</v>
      </c>
      <c r="BA7" s="39">
        <f t="shared" si="7"/>
        <v>0</v>
      </c>
      <c r="BB7" s="5">
        <f t="shared" si="6"/>
        <v>0.33333333333333331</v>
      </c>
    </row>
    <row r="8" spans="1:54" ht="21" x14ac:dyDescent="0.35">
      <c r="B8" s="43">
        <f t="shared" si="8"/>
        <v>41885</v>
      </c>
      <c r="C8" s="44">
        <f t="shared" si="9"/>
        <v>41885</v>
      </c>
      <c r="D8" s="3"/>
      <c r="E8" s="62"/>
      <c r="F8" s="62"/>
      <c r="G8" s="62"/>
      <c r="H8" s="62"/>
      <c r="I8" s="62" t="str">
        <f t="shared" ca="1" si="0"/>
        <v/>
      </c>
      <c r="J8" s="52">
        <f>IF(AND(Feiertage!$G$2&lt;&gt;"ja",AV8=1),IF(AZ8&gt;0,BB8+AZ8,BB8),IF(AZ8=0,0, IF(I8&lt;&gt;"",AZ8-I8,AZ8)))+AX8</f>
        <v>0</v>
      </c>
      <c r="K8" s="62">
        <f>IF(AV8=0,BB8,IF(Feiertage!$G$2="ja","00:00",BB8))</f>
        <v>0.33333333333333331</v>
      </c>
      <c r="L8" s="52" t="str">
        <f t="shared" ca="1" si="1"/>
        <v/>
      </c>
      <c r="M8" s="50" t="str">
        <f>IF(AV8=1,AU8,IF(LOWER(AW8)=LOWER(Urlaub!$W$19),Urlaub!$S$19,
IF(LOWER(AW8)=LOWER(Urlaub!$W$20),Urlaub!$S$20,
IF(LOWER(AW8)=LOWER(Urlaub!$W$21),Urlaub!$S$21,
IF(LOWER(AW8)=LOWER(Urlaub!$W$22),Urlaub!$S$22,
IF(LOWER(AW8)=LOWER(Urlaub!$W$23),Urlaub!$S$23,
IF(LOWER(AW8)=LOWER(Urlaub!$W$24),Urlaub!$S$24,""))))))&amp;IF(AND(EXACT(LOWER(AW8),AW8),AW8&lt;&gt;0)," 1/2",""))</f>
        <v/>
      </c>
      <c r="N8" s="53">
        <f t="shared" si="2"/>
        <v>0</v>
      </c>
      <c r="P8" s="55">
        <v>41641</v>
      </c>
      <c r="Q8" s="65">
        <v>0.33333333333333331</v>
      </c>
      <c r="R8" s="63">
        <v>2.0833333333333301E-2</v>
      </c>
      <c r="S8" s="66"/>
      <c r="U8" s="115" t="str">
        <f xml:space="preserve"> "Saldo " &amp; TEXT(B1,"MMMM")</f>
        <v>Saldo September</v>
      </c>
      <c r="V8" s="132">
        <f ca="1">SUM(L5:L35)</f>
        <v>0</v>
      </c>
      <c r="AU8" t="str">
        <f>IF(AV8=1,VLOOKUP($B8,Feiertage!$B$2:$D$49,3,FALSE),"")</f>
        <v/>
      </c>
      <c r="AV8">
        <f>IF(IFERROR(MATCH($B8,Feiertage!$B$2:$B$49,0)&gt;0,0),1,0)</f>
        <v>0</v>
      </c>
      <c r="AW8" s="22">
        <f>IFERROR(HLOOKUP(DAY(B8),Urlaub!$C$4:$AG$16,MONTH(B8)+1,FALSE),0)</f>
        <v>0</v>
      </c>
      <c r="AX8" s="38">
        <f t="shared" si="3"/>
        <v>0</v>
      </c>
      <c r="AY8" s="7">
        <f t="shared" si="4"/>
        <v>2.0833333333333332E-2</v>
      </c>
      <c r="AZ8" s="5">
        <f t="shared" si="5"/>
        <v>0</v>
      </c>
      <c r="BA8" s="39">
        <f t="shared" si="7"/>
        <v>0</v>
      </c>
      <c r="BB8" s="5">
        <f t="shared" si="6"/>
        <v>0.33333333333333331</v>
      </c>
    </row>
    <row r="9" spans="1:54" ht="18.75" x14ac:dyDescent="0.3">
      <c r="B9" s="43">
        <f t="shared" si="8"/>
        <v>41886</v>
      </c>
      <c r="C9" s="44">
        <f t="shared" si="9"/>
        <v>41886</v>
      </c>
      <c r="D9" s="3"/>
      <c r="E9" s="62"/>
      <c r="F9" s="62"/>
      <c r="G9" s="62"/>
      <c r="H9" s="62"/>
      <c r="I9" s="62" t="str">
        <f t="shared" ca="1" si="0"/>
        <v/>
      </c>
      <c r="J9" s="52">
        <f>IF(AND(Feiertage!$G$2&lt;&gt;"ja",AV9=1),IF(AZ9&gt;0,BB9+AZ9,BB9),IF(AZ9=0,0, IF(I9&lt;&gt;"",AZ9-I9,AZ9)))+AX9</f>
        <v>0</v>
      </c>
      <c r="K9" s="62">
        <f>IF(AV9=0,BB9,IF(Feiertage!$G$2="ja","00:00",BB9))</f>
        <v>0.33333333333333331</v>
      </c>
      <c r="L9" s="52" t="str">
        <f t="shared" ca="1" si="1"/>
        <v/>
      </c>
      <c r="M9" s="50" t="str">
        <f>IF(AV9=1,AU9,IF(LOWER(AW9)=LOWER(Urlaub!$W$19),Urlaub!$S$19,
IF(LOWER(AW9)=LOWER(Urlaub!$W$20),Urlaub!$S$20,
IF(LOWER(AW9)=LOWER(Urlaub!$W$21),Urlaub!$S$21,
IF(LOWER(AW9)=LOWER(Urlaub!$W$22),Urlaub!$S$22,
IF(LOWER(AW9)=LOWER(Urlaub!$W$23),Urlaub!$S$23,
IF(LOWER(AW9)=LOWER(Urlaub!$W$24),Urlaub!$S$24,""))))))&amp;IF(AND(EXACT(LOWER(AW9),AW9),AW9&lt;&gt;0)," 1/2",""))</f>
        <v/>
      </c>
      <c r="N9" s="53">
        <f t="shared" si="2"/>
        <v>0</v>
      </c>
      <c r="P9" s="55">
        <v>41642</v>
      </c>
      <c r="Q9" s="65">
        <v>0.33333333333333331</v>
      </c>
      <c r="R9" s="63">
        <v>2.0833333333333301E-2</v>
      </c>
      <c r="S9" s="66"/>
      <c r="U9" s="131" t="s">
        <v>85</v>
      </c>
      <c r="V9" s="134"/>
      <c r="AU9" t="str">
        <f>IF(AV9=1,VLOOKUP($B9,Feiertage!$B$2:$D$49,3,FALSE),"")</f>
        <v/>
      </c>
      <c r="AV9">
        <f>IF(IFERROR(MATCH($B9,Feiertage!$B$2:$B$49,0)&gt;0,0),1,0)</f>
        <v>0</v>
      </c>
      <c r="AW9" s="22">
        <f>IFERROR(HLOOKUP(DAY(B9),Urlaub!$C$4:$AG$16,MONTH(B9)+1,FALSE),0)</f>
        <v>0</v>
      </c>
      <c r="AX9" s="38">
        <f t="shared" si="3"/>
        <v>0</v>
      </c>
      <c r="AY9" s="7">
        <f t="shared" si="4"/>
        <v>2.0833333333333301E-2</v>
      </c>
      <c r="AZ9" s="5">
        <f t="shared" si="5"/>
        <v>0</v>
      </c>
      <c r="BA9" s="39">
        <f t="shared" si="7"/>
        <v>0</v>
      </c>
      <c r="BB9" s="5">
        <f t="shared" si="6"/>
        <v>0.33333333333333331</v>
      </c>
    </row>
    <row r="10" spans="1:54" ht="21.75" thickBot="1" x14ac:dyDescent="0.4">
      <c r="B10" s="43">
        <f t="shared" si="8"/>
        <v>41887</v>
      </c>
      <c r="C10" s="44">
        <f t="shared" si="9"/>
        <v>41887</v>
      </c>
      <c r="D10" s="3"/>
      <c r="E10" s="62"/>
      <c r="F10" s="62"/>
      <c r="G10" s="62"/>
      <c r="H10" s="62"/>
      <c r="I10" s="62" t="str">
        <f t="shared" ca="1" si="0"/>
        <v/>
      </c>
      <c r="J10" s="52">
        <f>IF(AND(Feiertage!$G$2&lt;&gt;"ja",AV10=1),IF(AZ10&gt;0,BB10+AZ10,BB10),IF(AZ10=0,0, IF(I10&lt;&gt;"",AZ10-I10,AZ10)))+AX10</f>
        <v>0</v>
      </c>
      <c r="K10" s="62">
        <f>IF(AV10=0,BB10,IF(Feiertage!$G$2="ja","00:00",BB10))</f>
        <v>0.33333333333333331</v>
      </c>
      <c r="L10" s="52" t="str">
        <f t="shared" ca="1" si="1"/>
        <v/>
      </c>
      <c r="M10" s="50" t="str">
        <f>IF(AV10=1,AU10,IF(LOWER(AW10)=LOWER(Urlaub!$W$19),Urlaub!$S$19,
IF(LOWER(AW10)=LOWER(Urlaub!$W$20),Urlaub!$S$20,
IF(LOWER(AW10)=LOWER(Urlaub!$W$21),Urlaub!$S$21,
IF(LOWER(AW10)=LOWER(Urlaub!$W$22),Urlaub!$S$22,
IF(LOWER(AW10)=LOWER(Urlaub!$W$23),Urlaub!$S$23,
IF(LOWER(AW10)=LOWER(Urlaub!$W$24),Urlaub!$S$24,""))))))&amp;IF(AND(EXACT(LOWER(AW10),AW10),AW10&lt;&gt;0)," 1/2",""))</f>
        <v/>
      </c>
      <c r="N10" s="53">
        <f t="shared" si="2"/>
        <v>0</v>
      </c>
      <c r="P10" s="55">
        <v>41643</v>
      </c>
      <c r="Q10" s="65">
        <v>0.33333333333333331</v>
      </c>
      <c r="R10" s="63">
        <v>2.0833333333333301E-2</v>
      </c>
      <c r="S10" s="66"/>
      <c r="U10" s="116" t="str">
        <f xml:space="preserve"> "Übertrag in " &amp;  IF( MONTH(B1)=12, YEAR(B1)+1, TEXT(EDATE(B1,1),"MMMM"))</f>
        <v>Übertrag in Oktober</v>
      </c>
      <c r="V10" s="133">
        <f ca="1">IF(V5="",0,V5)+V8+V9</f>
        <v>-50.999999999999986</v>
      </c>
      <c r="AU10" t="str">
        <f>IF(AV10=1,VLOOKUP($B10,Feiertage!$B$2:$D$49,3,FALSE),"")</f>
        <v/>
      </c>
      <c r="AV10">
        <f>IF(IFERROR(MATCH($B10,Feiertage!$B$2:$B$49,0)&gt;0,0),1,0)</f>
        <v>0</v>
      </c>
      <c r="AW10" s="22">
        <f>IFERROR(HLOOKUP(DAY(B10),Urlaub!$C$4:$AG$16,MONTH(B10)+1,FALSE),0)</f>
        <v>0</v>
      </c>
      <c r="AX10" s="38">
        <f t="shared" si="3"/>
        <v>0</v>
      </c>
      <c r="AY10" s="7">
        <f t="shared" si="4"/>
        <v>2.0833333333333301E-2</v>
      </c>
      <c r="AZ10" s="5">
        <f t="shared" si="5"/>
        <v>0</v>
      </c>
      <c r="BA10" s="39">
        <f t="shared" si="7"/>
        <v>0</v>
      </c>
      <c r="BB10" s="5">
        <f t="shared" si="6"/>
        <v>0.33333333333333331</v>
      </c>
    </row>
    <row r="11" spans="1:54" ht="18.75" x14ac:dyDescent="0.3">
      <c r="B11" s="43">
        <f t="shared" si="8"/>
        <v>41888</v>
      </c>
      <c r="C11" s="44">
        <f t="shared" si="9"/>
        <v>41888</v>
      </c>
      <c r="D11" s="3"/>
      <c r="E11" s="62"/>
      <c r="F11" s="62"/>
      <c r="G11" s="62"/>
      <c r="H11" s="62"/>
      <c r="I11" s="62" t="str">
        <f t="shared" ca="1" si="0"/>
        <v/>
      </c>
      <c r="J11" s="52">
        <f>IF(AND(Feiertage!$G$2&lt;&gt;"ja",AV11=1),IF(AZ11&gt;0,BB11+AZ11,BB11),IF(AZ11=0,0, IF(I11&lt;&gt;"",AZ11-I11,AZ11)))+AX11</f>
        <v>0</v>
      </c>
      <c r="K11" s="62">
        <f>IF(AV11=0,BB11,IF(Feiertage!$G$2="ja","00:00",BB11))</f>
        <v>0.33333333333333331</v>
      </c>
      <c r="L11" s="52" t="str">
        <f t="shared" ca="1" si="1"/>
        <v/>
      </c>
      <c r="M11" s="50" t="str">
        <f>IF(AV11=1,AU11,IF(LOWER(AW11)=LOWER(Urlaub!$W$19),Urlaub!$S$19,
IF(LOWER(AW11)=LOWER(Urlaub!$W$20),Urlaub!$S$20,
IF(LOWER(AW11)=LOWER(Urlaub!$W$21),Urlaub!$S$21,
IF(LOWER(AW11)=LOWER(Urlaub!$W$22),Urlaub!$S$22,
IF(LOWER(AW11)=LOWER(Urlaub!$W$23),Urlaub!$S$23,
IF(LOWER(AW11)=LOWER(Urlaub!$W$24),Urlaub!$S$24,""))))))&amp;IF(AND(EXACT(LOWER(AW11),AW11),AW11&lt;&gt;0)," 1/2",""))</f>
        <v/>
      </c>
      <c r="N11" s="53">
        <f t="shared" si="2"/>
        <v>0</v>
      </c>
      <c r="O11" s="21"/>
      <c r="P11" s="79">
        <v>41644</v>
      </c>
      <c r="Q11" s="67">
        <v>0</v>
      </c>
      <c r="R11" s="63">
        <v>2.0833333333333301E-2</v>
      </c>
      <c r="S11" s="66"/>
      <c r="AU11" t="str">
        <f>IF(AV11=1,VLOOKUP($B11,Feiertage!$B$2:$D$49,3,FALSE),"")</f>
        <v/>
      </c>
      <c r="AV11">
        <f>IF(IFERROR(MATCH($B11,Feiertage!$B$2:$B$49,0)&gt;0,0),1,0)</f>
        <v>0</v>
      </c>
      <c r="AW11" s="22">
        <f>IFERROR(HLOOKUP(DAY(B11),Urlaub!$C$4:$AG$16,MONTH(B11)+1,FALSE),0)</f>
        <v>0</v>
      </c>
      <c r="AX11" s="38">
        <f t="shared" si="3"/>
        <v>0</v>
      </c>
      <c r="AY11" s="7">
        <f t="shared" si="4"/>
        <v>2.0833333333333301E-2</v>
      </c>
      <c r="AZ11" s="5">
        <f>IF(F11,IF(E11,IF(E11&gt;F11,F11+"24:00"-E11,F11-E11),0),0)+IF(G11,IF(G11,IF(G11&gt;H11,H11+"24:00"-G11,H11-G11),0),0)</f>
        <v>0</v>
      </c>
      <c r="BA11" s="39">
        <f t="shared" si="7"/>
        <v>0</v>
      </c>
      <c r="BB11" s="5">
        <f t="shared" si="6"/>
        <v>0.33333333333333331</v>
      </c>
    </row>
    <row r="12" spans="1:54" ht="19.5" thickBot="1" x14ac:dyDescent="0.35">
      <c r="B12" s="43">
        <f t="shared" si="8"/>
        <v>41889</v>
      </c>
      <c r="C12" s="44">
        <f t="shared" si="9"/>
        <v>41889</v>
      </c>
      <c r="D12" s="3"/>
      <c r="E12" s="62"/>
      <c r="F12" s="62"/>
      <c r="G12" s="62"/>
      <c r="H12" s="62"/>
      <c r="I12" s="62" t="str">
        <f t="shared" ca="1" si="0"/>
        <v/>
      </c>
      <c r="J12" s="52">
        <f>IF(AND(Feiertage!$G$2&lt;&gt;"ja",AV12=1),IF(AZ12&gt;0,BB12+AZ12,BB12),IF(AZ12=0,0, IF(I12&lt;&gt;"",AZ12-I12,AZ12)))+AX12</f>
        <v>0</v>
      </c>
      <c r="K12" s="62">
        <f>IF(AV12=0,BB12,IF(Feiertage!$G$2="ja","00:00",BB12))</f>
        <v>0</v>
      </c>
      <c r="L12" s="52" t="str">
        <f t="shared" ca="1" si="1"/>
        <v/>
      </c>
      <c r="M12" s="50" t="str">
        <f>IF(AV12=1,AU12,IF(LOWER(AW12)=LOWER(Urlaub!$W$19),Urlaub!$S$19,
IF(LOWER(AW12)=LOWER(Urlaub!$W$20),Urlaub!$S$20,
IF(LOWER(AW12)=LOWER(Urlaub!$W$21),Urlaub!$S$21,
IF(LOWER(AW12)=LOWER(Urlaub!$W$22),Urlaub!$S$22,
IF(LOWER(AW12)=LOWER(Urlaub!$W$23),Urlaub!$S$23,
IF(LOWER(AW12)=LOWER(Urlaub!$W$24),Urlaub!$S$24,""))))))&amp;IF(AND(EXACT(LOWER(AW12),AW12),AW12&lt;&gt;0)," 1/2",""))</f>
        <v/>
      </c>
      <c r="N12" s="53">
        <f t="shared" si="2"/>
        <v>0</v>
      </c>
      <c r="P12" s="80">
        <v>41645</v>
      </c>
      <c r="Q12" s="68">
        <v>0</v>
      </c>
      <c r="R12" s="110">
        <v>2.0833333333333301E-2</v>
      </c>
      <c r="S12" s="69"/>
      <c r="AU12" t="str">
        <f>IF(AV12=1,VLOOKUP($B12,Feiertage!$B$2:$D$49,3,FALSE),"")</f>
        <v/>
      </c>
      <c r="AV12">
        <f>IF(IFERROR(MATCH($B12,Feiertage!$B$2:$B$49,0)&gt;0,0),1,0)</f>
        <v>0</v>
      </c>
      <c r="AW12" s="22">
        <f>IFERROR(HLOOKUP(DAY(B12),Urlaub!$C$4:$AG$16,MONTH(B12)+1,FALSE),0)</f>
        <v>0</v>
      </c>
      <c r="AX12" s="38">
        <f t="shared" si="3"/>
        <v>0</v>
      </c>
      <c r="AY12" s="7">
        <f t="shared" si="4"/>
        <v>2.0833333333333301E-2</v>
      </c>
      <c r="AZ12" s="5">
        <f>IF(F12,IF(E12,IF(E12&gt;F12,F12+"24:00"-E12,F12-E12),0),0)+IF(G12,IF(G12,IF(G12&gt;H12,H12+"24:00"-G12,H12-G12),0),0)</f>
        <v>0</v>
      </c>
      <c r="BA12" s="39">
        <f t="shared" si="7"/>
        <v>0</v>
      </c>
      <c r="BB12" s="5">
        <f t="shared" si="6"/>
        <v>0</v>
      </c>
    </row>
    <row r="13" spans="1:54" ht="19.5" thickBot="1" x14ac:dyDescent="0.35">
      <c r="B13" s="43">
        <f t="shared" si="8"/>
        <v>41890</v>
      </c>
      <c r="C13" s="44">
        <f t="shared" si="9"/>
        <v>41890</v>
      </c>
      <c r="D13" s="3"/>
      <c r="E13" s="62"/>
      <c r="F13" s="62"/>
      <c r="G13" s="62"/>
      <c r="H13" s="62"/>
      <c r="I13" s="62" t="str">
        <f t="shared" ca="1" si="0"/>
        <v/>
      </c>
      <c r="J13" s="52">
        <f>IF(AND(Feiertage!$G$2&lt;&gt;"ja",AV13=1),IF(AZ13&gt;0,BB13+AZ13,BB13),IF(AZ13=0,0, IF(I13&lt;&gt;"",AZ13-I13,AZ13)))+AX13</f>
        <v>0</v>
      </c>
      <c r="K13" s="62">
        <f>IF(AV13=0,BB13,IF(Feiertage!$G$2="ja","00:00",BB13))</f>
        <v>0</v>
      </c>
      <c r="L13" s="52" t="str">
        <f t="shared" ca="1" si="1"/>
        <v/>
      </c>
      <c r="M13" s="50" t="str">
        <f>IF(AV13=1,AU13,IF(LOWER(AW13)=LOWER(Urlaub!$W$19),Urlaub!$S$19,
IF(LOWER(AW13)=LOWER(Urlaub!$W$20),Urlaub!$S$20,
IF(LOWER(AW13)=LOWER(Urlaub!$W$21),Urlaub!$S$21,
IF(LOWER(AW13)=LOWER(Urlaub!$W$22),Urlaub!$S$22,
IF(LOWER(AW13)=LOWER(Urlaub!$W$23),Urlaub!$S$23,
IF(LOWER(AW13)=LOWER(Urlaub!$W$24),Urlaub!$S$24,""))))))&amp;IF(AND(EXACT(LOWER(AW13),AW13),AW13&lt;&gt;0)," 1/2",""))</f>
        <v/>
      </c>
      <c r="N13" s="53">
        <f t="shared" si="2"/>
        <v>0</v>
      </c>
      <c r="P13" s="56" t="s">
        <v>9</v>
      </c>
      <c r="Q13" s="57">
        <f>SUM(Q6:Q12)</f>
        <v>1.6666666666666665</v>
      </c>
      <c r="R13" s="4"/>
      <c r="Y13" s="7"/>
      <c r="AU13" t="str">
        <f>IF(AV13=1,VLOOKUP($B13,Feiertage!$B$2:$D$49,3,FALSE),"")</f>
        <v/>
      </c>
      <c r="AV13">
        <f>IF(IFERROR(MATCH($B13,Feiertage!$B$2:$B$49,0)&gt;0,0),1,0)</f>
        <v>0</v>
      </c>
      <c r="AW13" s="22">
        <f>IFERROR(HLOOKUP(DAY(B13),Urlaub!$C$4:$AG$16,MONTH(B13)+1,FALSE),0)</f>
        <v>0</v>
      </c>
      <c r="AX13" s="38">
        <f t="shared" si="3"/>
        <v>0</v>
      </c>
      <c r="AY13" s="7">
        <f t="shared" si="4"/>
        <v>2.0833333333333301E-2</v>
      </c>
      <c r="AZ13" s="5">
        <f t="shared" si="5"/>
        <v>0</v>
      </c>
      <c r="BA13" s="39">
        <f t="shared" si="7"/>
        <v>0</v>
      </c>
      <c r="BB13" s="5">
        <f t="shared" si="6"/>
        <v>0</v>
      </c>
    </row>
    <row r="14" spans="1:54" ht="18.75" x14ac:dyDescent="0.3">
      <c r="B14" s="43">
        <f t="shared" si="8"/>
        <v>41891</v>
      </c>
      <c r="C14" s="44">
        <f t="shared" si="9"/>
        <v>41891</v>
      </c>
      <c r="D14" s="3"/>
      <c r="E14" s="62"/>
      <c r="F14" s="62"/>
      <c r="G14" s="62"/>
      <c r="H14" s="62"/>
      <c r="I14" s="62" t="str">
        <f t="shared" ca="1" si="0"/>
        <v/>
      </c>
      <c r="J14" s="52">
        <f>IF(AND(Feiertage!$G$2&lt;&gt;"ja",AV14=1),IF(AZ14&gt;0,BB14+AZ14,BB14),IF(AZ14=0,0, IF(I14&lt;&gt;"",AZ14-I14,AZ14)))+AX14</f>
        <v>0</v>
      </c>
      <c r="K14" s="62">
        <f>IF(AV14=0,BB14,IF(Feiertage!$G$2="ja","00:00",BB14))</f>
        <v>0.33333333333333331</v>
      </c>
      <c r="L14" s="52" t="str">
        <f t="shared" ca="1" si="1"/>
        <v/>
      </c>
      <c r="M14" s="50" t="str">
        <f>IF(AV14=1,AU14,IF(LOWER(AW14)=LOWER(Urlaub!$W$19),Urlaub!$S$19,
IF(LOWER(AW14)=LOWER(Urlaub!$W$20),Urlaub!$S$20,
IF(LOWER(AW14)=LOWER(Urlaub!$W$21),Urlaub!$S$21,
IF(LOWER(AW14)=LOWER(Urlaub!$W$22),Urlaub!$S$22,
IF(LOWER(AW14)=LOWER(Urlaub!$W$23),Urlaub!$S$23,
IF(LOWER(AW14)=LOWER(Urlaub!$W$24),Urlaub!$S$24,""))))))&amp;IF(AND(EXACT(LOWER(AW14),AW14),AW14&lt;&gt;0)," 1/2",""))</f>
        <v/>
      </c>
      <c r="N14" s="53">
        <f t="shared" si="2"/>
        <v>0</v>
      </c>
      <c r="O14" s="6"/>
      <c r="AU14" t="str">
        <f>IF(AV14=1,VLOOKUP($B14,Feiertage!$B$2:$D$49,3,FALSE),"")</f>
        <v/>
      </c>
      <c r="AV14">
        <f>IF(IFERROR(MATCH($B14,Feiertage!$B$2:$B$49,0)&gt;0,0),1,0)</f>
        <v>0</v>
      </c>
      <c r="AW14" s="22">
        <f>IFERROR(HLOOKUP(DAY(B14),Urlaub!$C$4:$AG$16,MONTH(B14)+1,FALSE),0)</f>
        <v>0</v>
      </c>
      <c r="AX14" s="38">
        <f t="shared" si="3"/>
        <v>0</v>
      </c>
      <c r="AY14" s="7">
        <f t="shared" si="4"/>
        <v>2.0833333333333332E-2</v>
      </c>
      <c r="AZ14" s="5">
        <f t="shared" si="5"/>
        <v>0</v>
      </c>
      <c r="BA14" s="39">
        <f t="shared" si="7"/>
        <v>0</v>
      </c>
      <c r="BB14" s="5">
        <f t="shared" si="6"/>
        <v>0.33333333333333331</v>
      </c>
    </row>
    <row r="15" spans="1:54" ht="19.5" thickBot="1" x14ac:dyDescent="0.35">
      <c r="B15" s="43">
        <f t="shared" si="8"/>
        <v>41892</v>
      </c>
      <c r="C15" s="44">
        <f t="shared" si="9"/>
        <v>41892</v>
      </c>
      <c r="D15" s="3"/>
      <c r="E15" s="62"/>
      <c r="F15" s="62"/>
      <c r="G15" s="62"/>
      <c r="H15" s="62"/>
      <c r="I15" s="62" t="str">
        <f t="shared" ca="1" si="0"/>
        <v/>
      </c>
      <c r="J15" s="52">
        <f>IF(AND(Feiertage!$G$2&lt;&gt;"ja",AV15=1),IF(AZ15&gt;0,BB15+AZ15,BB15),IF(AZ15=0,0, IF(I15&lt;&gt;"",AZ15-I15,AZ15)))+AX15</f>
        <v>0</v>
      </c>
      <c r="K15" s="62">
        <f>IF(AV15=0,BB15,IF(Feiertage!$G$2="ja","00:00",BB15))</f>
        <v>0.33333333333333331</v>
      </c>
      <c r="L15" s="52" t="str">
        <f t="shared" ca="1" si="1"/>
        <v/>
      </c>
      <c r="M15" s="50" t="str">
        <f>IF(AV15=1,AU15,IF(LOWER(AW15)=LOWER(Urlaub!$W$19),Urlaub!$S$19,
IF(LOWER(AW15)=LOWER(Urlaub!$W$20),Urlaub!$S$20,
IF(LOWER(AW15)=LOWER(Urlaub!$W$21),Urlaub!$S$21,
IF(LOWER(AW15)=LOWER(Urlaub!$W$22),Urlaub!$S$22,
IF(LOWER(AW15)=LOWER(Urlaub!$W$23),Urlaub!$S$23,
IF(LOWER(AW15)=LOWER(Urlaub!$W$24),Urlaub!$S$24,""))))))&amp;IF(AND(EXACT(LOWER(AW15),AW15),AW15&lt;&gt;0)," 1/2",""))</f>
        <v/>
      </c>
      <c r="N15" s="53">
        <f t="shared" si="2"/>
        <v>0</v>
      </c>
      <c r="P15" s="153" t="s">
        <v>86</v>
      </c>
      <c r="Q15" s="154"/>
      <c r="R15" s="154"/>
      <c r="S15" s="154"/>
      <c r="T15" s="154"/>
      <c r="U15" s="154"/>
      <c r="V15" s="154"/>
      <c r="AU15" t="str">
        <f>IF(AV15=1,VLOOKUP($B15,Feiertage!$B$2:$D$49,3,FALSE),"")</f>
        <v/>
      </c>
      <c r="AV15">
        <f>IF(IFERROR(MATCH($B15,Feiertage!$B$2:$B$49,0)&gt;0,0),1,0)</f>
        <v>0</v>
      </c>
      <c r="AW15" s="22">
        <f>IFERROR(HLOOKUP(DAY(B15),Urlaub!$C$4:$AG$16,MONTH(B15)+1,FALSE),0)</f>
        <v>0</v>
      </c>
      <c r="AX15" s="38">
        <f t="shared" si="3"/>
        <v>0</v>
      </c>
      <c r="AY15" s="7">
        <f t="shared" si="4"/>
        <v>2.0833333333333332E-2</v>
      </c>
      <c r="AZ15" s="5">
        <f t="shared" si="5"/>
        <v>0</v>
      </c>
      <c r="BA15" s="39">
        <f t="shared" si="7"/>
        <v>0</v>
      </c>
      <c r="BB15" s="5">
        <f t="shared" si="6"/>
        <v>0.33333333333333331</v>
      </c>
    </row>
    <row r="16" spans="1:54" ht="18.75" x14ac:dyDescent="0.3">
      <c r="B16" s="43">
        <f t="shared" si="8"/>
        <v>41893</v>
      </c>
      <c r="C16" s="44">
        <f t="shared" si="9"/>
        <v>41893</v>
      </c>
      <c r="D16" s="3"/>
      <c r="E16" s="62"/>
      <c r="F16" s="62"/>
      <c r="G16" s="62"/>
      <c r="H16" s="62"/>
      <c r="I16" s="62" t="str">
        <f t="shared" ca="1" si="0"/>
        <v/>
      </c>
      <c r="J16" s="52">
        <f>IF(AND(Feiertage!$G$2&lt;&gt;"ja",AV16=1),IF(AZ16&gt;0,BB16+AZ16,BB16),IF(AZ16=0,0, IF(I16&lt;&gt;"",AZ16-I16,AZ16)))+AX16</f>
        <v>0</v>
      </c>
      <c r="K16" s="62">
        <f>IF(AV16=0,BB16,IF(Feiertage!$G$2="ja","00:00",BB16))</f>
        <v>0.33333333333333331</v>
      </c>
      <c r="L16" s="52" t="str">
        <f t="shared" ca="1" si="1"/>
        <v/>
      </c>
      <c r="M16" s="50" t="str">
        <f>IF(AV16=1,AU16,IF(LOWER(AW16)=LOWER(Urlaub!$W$19),Urlaub!$S$19,
IF(LOWER(AW16)=LOWER(Urlaub!$W$20),Urlaub!$S$20,
IF(LOWER(AW16)=LOWER(Urlaub!$W$21),Urlaub!$S$21,
IF(LOWER(AW16)=LOWER(Urlaub!$W$22),Urlaub!$S$22,
IF(LOWER(AW16)=LOWER(Urlaub!$W$23),Urlaub!$S$23,
IF(LOWER(AW16)=LOWER(Urlaub!$W$24),Urlaub!$S$24,""))))))&amp;IF(AND(EXACT(LOWER(AW16),AW16),AW16&lt;&gt;0)," 1/2",""))</f>
        <v/>
      </c>
      <c r="N16" s="53">
        <f t="shared" si="2"/>
        <v>0</v>
      </c>
      <c r="P16" s="155"/>
      <c r="Q16" s="156"/>
      <c r="R16" s="156"/>
      <c r="S16" s="156"/>
      <c r="T16" s="156"/>
      <c r="U16" s="156"/>
      <c r="V16" s="157"/>
      <c r="AU16" t="str">
        <f>IF(AV16=1,VLOOKUP($B16,Feiertage!$B$2:$D$49,3,FALSE),"")</f>
        <v/>
      </c>
      <c r="AV16">
        <f>IF(IFERROR(MATCH($B16,Feiertage!$B$2:$B$49,0)&gt;0,0),1,0)</f>
        <v>0</v>
      </c>
      <c r="AW16" s="22">
        <f>IFERROR(HLOOKUP(DAY(B16),Urlaub!$C$4:$AG$16,MONTH(B16)+1,FALSE),0)</f>
        <v>0</v>
      </c>
      <c r="AX16" s="38">
        <f t="shared" si="3"/>
        <v>0</v>
      </c>
      <c r="AY16" s="7">
        <f t="shared" si="4"/>
        <v>2.0833333333333301E-2</v>
      </c>
      <c r="AZ16" s="5">
        <f t="shared" si="5"/>
        <v>0</v>
      </c>
      <c r="BA16" s="39">
        <f t="shared" si="7"/>
        <v>0</v>
      </c>
      <c r="BB16" s="5">
        <f t="shared" si="6"/>
        <v>0.33333333333333331</v>
      </c>
    </row>
    <row r="17" spans="2:54" ht="18.75" x14ac:dyDescent="0.3">
      <c r="B17" s="43">
        <f t="shared" si="8"/>
        <v>41894</v>
      </c>
      <c r="C17" s="44">
        <f t="shared" si="9"/>
        <v>41894</v>
      </c>
      <c r="D17" s="3"/>
      <c r="E17" s="62"/>
      <c r="F17" s="62"/>
      <c r="G17" s="62"/>
      <c r="H17" s="62"/>
      <c r="I17" s="62" t="str">
        <f t="shared" ca="1" si="0"/>
        <v/>
      </c>
      <c r="J17" s="52">
        <f>IF(AND(Feiertage!$G$2&lt;&gt;"ja",AV17=1),IF(AZ17&gt;0,BB17+AZ17,BB17),IF(AZ17=0,0, IF(I17&lt;&gt;"",AZ17-I17,AZ17)))+AX17</f>
        <v>0</v>
      </c>
      <c r="K17" s="62">
        <f>IF(AV17=0,BB17,IF(Feiertage!$G$2="ja","00:00",BB17))</f>
        <v>0.33333333333333331</v>
      </c>
      <c r="L17" s="52" t="str">
        <f t="shared" ca="1" si="1"/>
        <v/>
      </c>
      <c r="M17" s="50" t="str">
        <f>IF(AV17=1,AU17,IF(LOWER(AW17)=LOWER(Urlaub!$W$19),Urlaub!$S$19,
IF(LOWER(AW17)=LOWER(Urlaub!$W$20),Urlaub!$S$20,
IF(LOWER(AW17)=LOWER(Urlaub!$W$21),Urlaub!$S$21,
IF(LOWER(AW17)=LOWER(Urlaub!$W$22),Urlaub!$S$22,
IF(LOWER(AW17)=LOWER(Urlaub!$W$23),Urlaub!$S$23,
IF(LOWER(AW17)=LOWER(Urlaub!$W$24),Urlaub!$S$24,""))))))&amp;IF(AND(EXACT(LOWER(AW17),AW17),AW17&lt;&gt;0)," 1/2",""))</f>
        <v/>
      </c>
      <c r="N17" s="53">
        <f t="shared" si="2"/>
        <v>0</v>
      </c>
      <c r="P17" s="158"/>
      <c r="Q17" s="159"/>
      <c r="R17" s="159"/>
      <c r="S17" s="159"/>
      <c r="T17" s="159"/>
      <c r="U17" s="159"/>
      <c r="V17" s="160"/>
      <c r="AU17" t="str">
        <f>IF(AV17=1,VLOOKUP($B17,Feiertage!$B$2:$D$49,3,FALSE),"")</f>
        <v/>
      </c>
      <c r="AV17">
        <f>IF(IFERROR(MATCH($B17,Feiertage!$B$2:$B$49,0)&gt;0,0),1,0)</f>
        <v>0</v>
      </c>
      <c r="AW17" s="22">
        <f>IFERROR(HLOOKUP(DAY(B17),Urlaub!$C$4:$AG$16,MONTH(B17)+1,FALSE),0)</f>
        <v>0</v>
      </c>
      <c r="AX17" s="38">
        <f t="shared" ref="AX17:AX35" si="10">IFERROR(IF(OR(AW17=0,AW17="G"),0,IF(EXACT(LOWER(AW17),AW17),0.5*BB17,BB17)),"")</f>
        <v>0</v>
      </c>
      <c r="AY17" s="7">
        <f t="shared" si="4"/>
        <v>2.0833333333333301E-2</v>
      </c>
      <c r="AZ17" s="5">
        <f t="shared" si="5"/>
        <v>0</v>
      </c>
      <c r="BA17" s="39">
        <f t="shared" si="7"/>
        <v>0</v>
      </c>
      <c r="BB17" s="5">
        <f t="shared" si="6"/>
        <v>0.33333333333333331</v>
      </c>
    </row>
    <row r="18" spans="2:54" ht="19.5" thickBot="1" x14ac:dyDescent="0.35">
      <c r="B18" s="43">
        <f t="shared" si="8"/>
        <v>41895</v>
      </c>
      <c r="C18" s="44">
        <f t="shared" si="9"/>
        <v>41895</v>
      </c>
      <c r="D18" s="3"/>
      <c r="E18" s="62"/>
      <c r="F18" s="62"/>
      <c r="G18" s="62"/>
      <c r="H18" s="62"/>
      <c r="I18" s="62" t="str">
        <f t="shared" ca="1" si="0"/>
        <v/>
      </c>
      <c r="J18" s="52">
        <f>IF(AND(Feiertage!$G$2&lt;&gt;"ja",AV18=1),IF(AZ18&gt;0,BB18+AZ18,BB18),IF(AZ18=0,0, IF(I18&lt;&gt;"",AZ18-I18,AZ18)))+AX18</f>
        <v>0</v>
      </c>
      <c r="K18" s="62">
        <f>IF(AV18=0,BB18,IF(Feiertage!$G$2="ja","00:00",BB18))</f>
        <v>0.33333333333333331</v>
      </c>
      <c r="L18" s="52" t="str">
        <f t="shared" ca="1" si="1"/>
        <v/>
      </c>
      <c r="M18" s="50" t="str">
        <f>IF(AV18=1,AU18,IF(LOWER(AW18)=LOWER(Urlaub!$W$19),Urlaub!$S$19,
IF(LOWER(AW18)=LOWER(Urlaub!$W$20),Urlaub!$S$20,
IF(LOWER(AW18)=LOWER(Urlaub!$W$21),Urlaub!$S$21,
IF(LOWER(AW18)=LOWER(Urlaub!$W$22),Urlaub!$S$22,
IF(LOWER(AW18)=LOWER(Urlaub!$W$23),Urlaub!$S$23,
IF(LOWER(AW18)=LOWER(Urlaub!$W$24),Urlaub!$S$24,""))))))&amp;IF(AND(EXACT(LOWER(AW18),AW18),AW18&lt;&gt;0)," 1/2",""))</f>
        <v/>
      </c>
      <c r="N18" s="53">
        <f t="shared" si="2"/>
        <v>0</v>
      </c>
      <c r="P18" s="161"/>
      <c r="Q18" s="162"/>
      <c r="R18" s="162"/>
      <c r="S18" s="162"/>
      <c r="T18" s="162"/>
      <c r="U18" s="162"/>
      <c r="V18" s="163"/>
      <c r="AU18" t="str">
        <f>IF(AV18=1,VLOOKUP($B18,Feiertage!$B$2:$D$49,3,FALSE),"")</f>
        <v/>
      </c>
      <c r="AV18">
        <f>IF(IFERROR(MATCH($B18,Feiertage!$B$2:$B$49,0)&gt;0,0),1,0)</f>
        <v>0</v>
      </c>
      <c r="AW18" s="22">
        <f>IFERROR(HLOOKUP(DAY(B18),Urlaub!$C$4:$AG$16,MONTH(B18)+1,FALSE),0)</f>
        <v>0</v>
      </c>
      <c r="AX18" s="38">
        <f t="shared" si="10"/>
        <v>0</v>
      </c>
      <c r="AY18" s="7">
        <f t="shared" si="4"/>
        <v>2.0833333333333301E-2</v>
      </c>
      <c r="AZ18" s="5">
        <f t="shared" si="5"/>
        <v>0</v>
      </c>
      <c r="BA18" s="39">
        <f t="shared" si="7"/>
        <v>0</v>
      </c>
      <c r="BB18" s="5">
        <f t="shared" si="6"/>
        <v>0.33333333333333331</v>
      </c>
    </row>
    <row r="19" spans="2:54" ht="18.75" x14ac:dyDescent="0.3">
      <c r="B19" s="43">
        <f t="shared" si="8"/>
        <v>41896</v>
      </c>
      <c r="C19" s="44">
        <f t="shared" si="9"/>
        <v>41896</v>
      </c>
      <c r="D19" s="3"/>
      <c r="E19" s="62"/>
      <c r="F19" s="62"/>
      <c r="G19" s="62"/>
      <c r="H19" s="62"/>
      <c r="I19" s="62" t="str">
        <f t="shared" ca="1" si="0"/>
        <v/>
      </c>
      <c r="J19" s="52">
        <f>IF(AND(Feiertage!$G$2&lt;&gt;"ja",AV19=1),IF(AZ19&gt;0,BB19+AZ19,BB19),IF(AZ19=0,0, IF(I19&lt;&gt;"",AZ19-I19,AZ19)))+AX19</f>
        <v>0</v>
      </c>
      <c r="K19" s="62">
        <f>IF(AV19=0,BB19,IF(Feiertage!$G$2="ja","00:00",BB19))</f>
        <v>0</v>
      </c>
      <c r="L19" s="52" t="str">
        <f ca="1">IF(OR(B19&lt;=TODAY(),J19,AW19="G"),IF(J19&lt;&gt;"",IF(J19-K19=0,"",J19-K19),IF(K19&lt;&gt;"",-K19,"")),"")</f>
        <v/>
      </c>
      <c r="M19" s="50" t="str">
        <f>IF(AV19=1,AU19,IF(LOWER(AW19)=LOWER(Urlaub!$W$19),Urlaub!$S$19,
IF(LOWER(AW19)=LOWER(Urlaub!$W$20),Urlaub!$S$20,
IF(LOWER(AW19)=LOWER(Urlaub!$W$21),Urlaub!$S$21,
IF(LOWER(AW19)=LOWER(Urlaub!$W$22),Urlaub!$S$22,
IF(LOWER(AW19)=LOWER(Urlaub!$W$23),Urlaub!$S$23,
IF(LOWER(AW19)=LOWER(Urlaub!$W$24),Urlaub!$S$24,""))))))&amp;IF(AND(EXACT(LOWER(AW19),AW19),AW19&lt;&gt;0)," 1/2",""))</f>
        <v/>
      </c>
      <c r="N19" s="53">
        <f t="shared" si="2"/>
        <v>0</v>
      </c>
      <c r="AU19" t="str">
        <f>IF(AV19=1,VLOOKUP($B19,Feiertage!$B$2:$D$49,3,FALSE),"")</f>
        <v/>
      </c>
      <c r="AV19">
        <f>IF(IFERROR(MATCH($B19,Feiertage!$B$2:$B$49,0)&gt;0,0),1,0)</f>
        <v>0</v>
      </c>
      <c r="AW19" s="22">
        <f>IFERROR(HLOOKUP(DAY(B19),Urlaub!$C$4:$AG$16,MONTH(B19)+1,FALSE),0)</f>
        <v>0</v>
      </c>
      <c r="AX19" s="38">
        <f>IFERROR(IF(OR(AW19=0,AW19="G"),0,IF(EXACT(LOWER(AW19),AW19),0.5*BB19,BB19)),"")</f>
        <v>0</v>
      </c>
      <c r="AY19" s="7">
        <f t="shared" si="4"/>
        <v>2.0833333333333301E-2</v>
      </c>
      <c r="AZ19" s="5">
        <f t="shared" si="5"/>
        <v>0</v>
      </c>
      <c r="BA19" s="39">
        <f t="shared" si="7"/>
        <v>0</v>
      </c>
      <c r="BB19" s="5">
        <f t="shared" si="6"/>
        <v>0</v>
      </c>
    </row>
    <row r="20" spans="2:54" ht="18.75" x14ac:dyDescent="0.3">
      <c r="B20" s="43">
        <f t="shared" si="8"/>
        <v>41897</v>
      </c>
      <c r="C20" s="44">
        <f t="shared" si="9"/>
        <v>41897</v>
      </c>
      <c r="D20" s="3"/>
      <c r="E20" s="62"/>
      <c r="F20" s="62"/>
      <c r="G20" s="62"/>
      <c r="H20" s="62"/>
      <c r="I20" s="62" t="str">
        <f t="shared" ca="1" si="0"/>
        <v/>
      </c>
      <c r="J20" s="52">
        <f>IF(AND(Feiertage!$G$2&lt;&gt;"ja",AV20=1),IF(AZ20&gt;0,BB20+AZ20,BB20),IF(AZ20=0,0, IF(I20&lt;&gt;"",AZ20-I20,AZ20)))+AX20</f>
        <v>0</v>
      </c>
      <c r="K20" s="62">
        <f>IF(AV20=0,BB20,IF(Feiertage!$G$2="ja","00:00",BB20))</f>
        <v>0</v>
      </c>
      <c r="L20" s="52" t="str">
        <f t="shared" ref="L20:L35" ca="1" si="11">IF(OR(B20&lt;=TODAY(),J20,AW20="G"),IF(J20&lt;&gt;"",IF(J20-K20=0,"",J20-K20),IF(K20&lt;&gt;"",-K20,"")),"")</f>
        <v/>
      </c>
      <c r="M20" s="50" t="str">
        <f>IF(AV20=1,AU20,IF(LOWER(AW20)=LOWER(Urlaub!$W$19),Urlaub!$S$19,
IF(LOWER(AW20)=LOWER(Urlaub!$W$20),Urlaub!$S$20,
IF(LOWER(AW20)=LOWER(Urlaub!$W$21),Urlaub!$S$21,
IF(LOWER(AW20)=LOWER(Urlaub!$W$22),Urlaub!$S$22,
IF(LOWER(AW20)=LOWER(Urlaub!$W$23),Urlaub!$S$23,
IF(LOWER(AW20)=LOWER(Urlaub!$W$24),Urlaub!$S$24,""))))))&amp;IF(AND(EXACT(LOWER(AW20),AW20),AW20&lt;&gt;0)," 1/2",""))</f>
        <v/>
      </c>
      <c r="N20" s="53">
        <f t="shared" si="2"/>
        <v>0</v>
      </c>
      <c r="AU20" t="str">
        <f>IF(AV20=1,VLOOKUP($B20,Feiertage!$B$2:$D$49,3,FALSE),"")</f>
        <v/>
      </c>
      <c r="AV20">
        <f>IF(IFERROR(MATCH($B20,Feiertage!$B$2:$B$49,0)&gt;0,0),1,0)</f>
        <v>0</v>
      </c>
      <c r="AW20" s="22">
        <f>IFERROR(HLOOKUP(DAY(B20),Urlaub!$C$4:$AG$16,MONTH(B20)+1,FALSE),0)</f>
        <v>0</v>
      </c>
      <c r="AX20" s="38">
        <f t="shared" si="10"/>
        <v>0</v>
      </c>
      <c r="AY20" s="7">
        <f t="shared" si="4"/>
        <v>2.0833333333333301E-2</v>
      </c>
      <c r="AZ20" s="5">
        <f t="shared" si="5"/>
        <v>0</v>
      </c>
      <c r="BA20" s="39">
        <f t="shared" si="7"/>
        <v>0</v>
      </c>
      <c r="BB20" s="5">
        <f t="shared" si="6"/>
        <v>0</v>
      </c>
    </row>
    <row r="21" spans="2:54" ht="18.75" x14ac:dyDescent="0.3">
      <c r="B21" s="43">
        <f t="shared" si="8"/>
        <v>41898</v>
      </c>
      <c r="C21" s="44">
        <f t="shared" si="9"/>
        <v>41898</v>
      </c>
      <c r="D21" s="3"/>
      <c r="E21" s="62"/>
      <c r="F21" s="62"/>
      <c r="G21" s="62"/>
      <c r="H21" s="62"/>
      <c r="I21" s="62" t="str">
        <f t="shared" ca="1" si="0"/>
        <v/>
      </c>
      <c r="J21" s="52">
        <f>IF(AND(Feiertage!$G$2&lt;&gt;"ja",AV21=1),IF(AZ21&gt;0,BB21+AZ21,BB21),IF(AZ21=0,0, IF(I21&lt;&gt;"",AZ21-I21,AZ21)))+AX21</f>
        <v>0</v>
      </c>
      <c r="K21" s="62">
        <f>IF(AV21=0,BB21,IF(Feiertage!$G$2="ja","00:00",BB21))</f>
        <v>0.33333333333333331</v>
      </c>
      <c r="L21" s="52" t="str">
        <f t="shared" ca="1" si="11"/>
        <v/>
      </c>
      <c r="M21" s="50" t="str">
        <f>IF(AV21=1,AU21,IF(LOWER(AW21)=LOWER(Urlaub!$W$19),Urlaub!$S$19,
IF(LOWER(AW21)=LOWER(Urlaub!$W$20),Urlaub!$S$20,
IF(LOWER(AW21)=LOWER(Urlaub!$W$21),Urlaub!$S$21,
IF(LOWER(AW21)=LOWER(Urlaub!$W$22),Urlaub!$S$22,
IF(LOWER(AW21)=LOWER(Urlaub!$W$23),Urlaub!$S$23,
IF(LOWER(AW21)=LOWER(Urlaub!$W$24),Urlaub!$S$24,""))))))&amp;IF(AND(EXACT(LOWER(AW21),AW21),AW21&lt;&gt;0)," 1/2",""))</f>
        <v/>
      </c>
      <c r="N21" s="53">
        <f t="shared" si="2"/>
        <v>0</v>
      </c>
      <c r="AU21" t="str">
        <f>IF(AV21=1,VLOOKUP($B21,Feiertage!$B$2:$D$49,3,FALSE),"")</f>
        <v/>
      </c>
      <c r="AV21">
        <f>IF(IFERROR(MATCH($B21,Feiertage!$B$2:$B$49,0)&gt;0,0),1,0)</f>
        <v>0</v>
      </c>
      <c r="AW21" s="22">
        <f>IFERROR(HLOOKUP(DAY(B21),Urlaub!$C$4:$AG$16,MONTH(B21)+1,FALSE),0)</f>
        <v>0</v>
      </c>
      <c r="AX21" s="38">
        <f t="shared" si="10"/>
        <v>0</v>
      </c>
      <c r="AY21" s="7">
        <f t="shared" si="4"/>
        <v>2.0833333333333332E-2</v>
      </c>
      <c r="AZ21" s="5">
        <f t="shared" si="5"/>
        <v>0</v>
      </c>
      <c r="BA21" s="39">
        <f t="shared" si="7"/>
        <v>0</v>
      </c>
      <c r="BB21" s="5">
        <f t="shared" si="6"/>
        <v>0.33333333333333331</v>
      </c>
    </row>
    <row r="22" spans="2:54" ht="18.75" x14ac:dyDescent="0.3">
      <c r="B22" s="43">
        <f t="shared" si="8"/>
        <v>41899</v>
      </c>
      <c r="C22" s="44">
        <f t="shared" si="9"/>
        <v>41899</v>
      </c>
      <c r="D22" s="3"/>
      <c r="E22" s="62"/>
      <c r="F22" s="62"/>
      <c r="G22" s="62"/>
      <c r="H22" s="62"/>
      <c r="I22" s="62" t="str">
        <f t="shared" ca="1" si="0"/>
        <v/>
      </c>
      <c r="J22" s="52">
        <f>IF(AND(Feiertage!$G$2&lt;&gt;"ja",AV22=1),IF(AZ22&gt;0,BB22+AZ22,BB22),IF(AZ22=0,0, IF(I22&lt;&gt;"",AZ22-I22,AZ22)))+AX22</f>
        <v>0</v>
      </c>
      <c r="K22" s="62">
        <f>IF(AV22=0,BB22,IF(Feiertage!$G$2="ja","00:00",BB22))</f>
        <v>0.33333333333333331</v>
      </c>
      <c r="L22" s="52" t="str">
        <f t="shared" ca="1" si="11"/>
        <v/>
      </c>
      <c r="M22" s="50" t="str">
        <f>IF(AV22=1,AU22,IF(LOWER(AW22)=LOWER(Urlaub!$W$19),Urlaub!$S$19,
IF(LOWER(AW22)=LOWER(Urlaub!$W$20),Urlaub!$S$20,
IF(LOWER(AW22)=LOWER(Urlaub!$W$21),Urlaub!$S$21,
IF(LOWER(AW22)=LOWER(Urlaub!$W$22),Urlaub!$S$22,
IF(LOWER(AW22)=LOWER(Urlaub!$W$23),Urlaub!$S$23,
IF(LOWER(AW22)=LOWER(Urlaub!$W$24),Urlaub!$S$24,""))))))&amp;IF(AND(EXACT(LOWER(AW22),AW22),AW22&lt;&gt;0)," 1/2",""))</f>
        <v/>
      </c>
      <c r="N22" s="53">
        <f t="shared" si="2"/>
        <v>0</v>
      </c>
      <c r="AU22" t="str">
        <f>IF(AV22=1,VLOOKUP($B22,Feiertage!$B$2:$D$49,3,FALSE),"")</f>
        <v/>
      </c>
      <c r="AV22">
        <f>IF(IFERROR(MATCH($B22,Feiertage!$B$2:$B$49,0)&gt;0,0),1,0)</f>
        <v>0</v>
      </c>
      <c r="AW22" s="22">
        <f>IFERROR(HLOOKUP(DAY(B22),Urlaub!$C$4:$AG$16,MONTH(B22)+1,FALSE),0)</f>
        <v>0</v>
      </c>
      <c r="AX22" s="38">
        <f t="shared" si="10"/>
        <v>0</v>
      </c>
      <c r="AY22" s="7">
        <f t="shared" si="4"/>
        <v>2.0833333333333332E-2</v>
      </c>
      <c r="AZ22" s="5">
        <f t="shared" si="5"/>
        <v>0</v>
      </c>
      <c r="BA22" s="39">
        <f t="shared" si="7"/>
        <v>0</v>
      </c>
      <c r="BB22" s="5">
        <f t="shared" si="6"/>
        <v>0.33333333333333331</v>
      </c>
    </row>
    <row r="23" spans="2:54" ht="18.75" x14ac:dyDescent="0.3">
      <c r="B23" s="43">
        <f t="shared" si="8"/>
        <v>41900</v>
      </c>
      <c r="C23" s="44">
        <f t="shared" si="9"/>
        <v>41900</v>
      </c>
      <c r="D23" s="3"/>
      <c r="E23" s="62"/>
      <c r="F23" s="62"/>
      <c r="G23" s="62"/>
      <c r="H23" s="62"/>
      <c r="I23" s="62" t="str">
        <f t="shared" ca="1" si="0"/>
        <v/>
      </c>
      <c r="J23" s="52">
        <f>IF(AND(Feiertage!$G$2&lt;&gt;"ja",AV23=1),IF(AZ23&gt;0,BB23+AZ23,BB23),IF(AZ23=0,0, IF(I23&lt;&gt;"",AZ23-I23,AZ23)))+AX23</f>
        <v>0</v>
      </c>
      <c r="K23" s="62">
        <f>IF(AV23=0,BB23,IF(Feiertage!$G$2="ja","00:00",BB23))</f>
        <v>0.33333333333333331</v>
      </c>
      <c r="L23" s="52" t="str">
        <f t="shared" ca="1" si="11"/>
        <v/>
      </c>
      <c r="M23" s="50" t="str">
        <f>IF(AV23=1,AU23,IF(LOWER(AW23)=LOWER(Urlaub!$W$19),Urlaub!$S$19,
IF(LOWER(AW23)=LOWER(Urlaub!$W$20),Urlaub!$S$20,
IF(LOWER(AW23)=LOWER(Urlaub!$W$21),Urlaub!$S$21,
IF(LOWER(AW23)=LOWER(Urlaub!$W$22),Urlaub!$S$22,
IF(LOWER(AW23)=LOWER(Urlaub!$W$23),Urlaub!$S$23,
IF(LOWER(AW23)=LOWER(Urlaub!$W$24),Urlaub!$S$24,""))))))&amp;IF(AND(EXACT(LOWER(AW23),AW23),AW23&lt;&gt;0)," 1/2",""))</f>
        <v/>
      </c>
      <c r="N23" s="53">
        <f t="shared" si="2"/>
        <v>0</v>
      </c>
      <c r="AU23" t="str">
        <f>IF(AV23=1,VLOOKUP($B23,Feiertage!$B$2:$D$49,3,FALSE),"")</f>
        <v/>
      </c>
      <c r="AV23">
        <f>IF(IFERROR(MATCH($B23,Feiertage!$B$2:$B$49,0)&gt;0,0),1,0)</f>
        <v>0</v>
      </c>
      <c r="AW23" s="22">
        <f>IFERROR(HLOOKUP(DAY(B23),Urlaub!$C$4:$AG$16,MONTH(B23)+1,FALSE),0)</f>
        <v>0</v>
      </c>
      <c r="AX23" s="38">
        <f>IFERROR(IF(OR(AW23=0,AW23="G"),0,IF(EXACT(LOWER(AW23),AW23),0.5*BB23,BB23)),"")</f>
        <v>0</v>
      </c>
      <c r="AY23" s="7">
        <f t="shared" si="4"/>
        <v>2.0833333333333301E-2</v>
      </c>
      <c r="AZ23" s="5">
        <f t="shared" si="5"/>
        <v>0</v>
      </c>
      <c r="BA23" s="39">
        <f t="shared" si="7"/>
        <v>0</v>
      </c>
      <c r="BB23" s="5">
        <f t="shared" si="6"/>
        <v>0.33333333333333331</v>
      </c>
    </row>
    <row r="24" spans="2:54" ht="18.75" x14ac:dyDescent="0.3">
      <c r="B24" s="43">
        <f t="shared" si="8"/>
        <v>41901</v>
      </c>
      <c r="C24" s="44">
        <f t="shared" si="9"/>
        <v>41901</v>
      </c>
      <c r="D24" s="3"/>
      <c r="E24" s="62"/>
      <c r="F24" s="62"/>
      <c r="G24" s="62"/>
      <c r="H24" s="62"/>
      <c r="I24" s="62" t="str">
        <f t="shared" ca="1" si="0"/>
        <v/>
      </c>
      <c r="J24" s="52">
        <f>IF(AND(Feiertage!$G$2&lt;&gt;"ja",AV24=1),IF(AZ24&gt;0,BB24+AZ24,BB24),IF(AZ24=0,0, IF(I24&lt;&gt;"",AZ24-I24,AZ24)))+AX24</f>
        <v>0</v>
      </c>
      <c r="K24" s="62">
        <f>IF(AV24=0,BB24,IF(Feiertage!$G$2="ja","00:00",BB24))</f>
        <v>0.33333333333333331</v>
      </c>
      <c r="L24" s="52" t="str">
        <f t="shared" ca="1" si="11"/>
        <v/>
      </c>
      <c r="M24" s="50" t="str">
        <f>IF(AV24=1,AU24,IF(LOWER(AW24)=LOWER(Urlaub!$W$19),Urlaub!$S$19,
IF(LOWER(AW24)=LOWER(Urlaub!$W$20),Urlaub!$S$20,
IF(LOWER(AW24)=LOWER(Urlaub!$W$21),Urlaub!$S$21,
IF(LOWER(AW24)=LOWER(Urlaub!$W$22),Urlaub!$S$22,
IF(LOWER(AW24)=LOWER(Urlaub!$W$23),Urlaub!$S$23,
IF(LOWER(AW24)=LOWER(Urlaub!$W$24),Urlaub!$S$24,""))))))&amp;IF(AND(EXACT(LOWER(AW24),AW24),AW24&lt;&gt;0)," 1/2",""))</f>
        <v/>
      </c>
      <c r="N24" s="53">
        <f t="shared" si="2"/>
        <v>0</v>
      </c>
      <c r="AU24" t="str">
        <f>IF(AV24=1,VLOOKUP($B24,Feiertage!$B$2:$D$49,3,FALSE),"")</f>
        <v/>
      </c>
      <c r="AV24">
        <f>IF(IFERROR(MATCH($B24,Feiertage!$B$2:$B$49,0)&gt;0,0),1,0)</f>
        <v>0</v>
      </c>
      <c r="AW24" s="22">
        <f>IFERROR(HLOOKUP(DAY(B24),Urlaub!$C$4:$AG$16,MONTH(B24)+1,FALSE),0)</f>
        <v>0</v>
      </c>
      <c r="AX24" s="38">
        <f t="shared" si="10"/>
        <v>0</v>
      </c>
      <c r="AY24" s="7">
        <f t="shared" si="4"/>
        <v>2.0833333333333301E-2</v>
      </c>
      <c r="AZ24" s="5">
        <f t="shared" si="5"/>
        <v>0</v>
      </c>
      <c r="BA24" s="39">
        <f t="shared" si="7"/>
        <v>0</v>
      </c>
      <c r="BB24" s="5">
        <f t="shared" si="6"/>
        <v>0.33333333333333331</v>
      </c>
    </row>
    <row r="25" spans="2:54" ht="18.75" x14ac:dyDescent="0.3">
      <c r="B25" s="43">
        <f t="shared" si="8"/>
        <v>41902</v>
      </c>
      <c r="C25" s="44">
        <f t="shared" si="9"/>
        <v>41902</v>
      </c>
      <c r="D25" s="3"/>
      <c r="E25" s="62"/>
      <c r="F25" s="62"/>
      <c r="G25" s="62"/>
      <c r="H25" s="62"/>
      <c r="I25" s="62" t="str">
        <f t="shared" ca="1" si="0"/>
        <v/>
      </c>
      <c r="J25" s="52">
        <f>IF(AND(Feiertage!$G$2&lt;&gt;"ja",AV25=1),IF(AZ25&gt;0,BB25+AZ25,BB25),IF(AZ25=0,0, IF(I25&lt;&gt;"",AZ25-I25,AZ25)))+AX25</f>
        <v>0</v>
      </c>
      <c r="K25" s="62">
        <f>IF(AV25=0,BB25,IF(Feiertage!$G$2="ja","00:00",BB25))</f>
        <v>0.33333333333333331</v>
      </c>
      <c r="L25" s="52" t="str">
        <f t="shared" ca="1" si="11"/>
        <v/>
      </c>
      <c r="M25" s="50" t="str">
        <f>IF(AV25=1,AU25,IF(LOWER(AW25)=LOWER(Urlaub!$W$19),Urlaub!$S$19,
IF(LOWER(AW25)=LOWER(Urlaub!$W$20),Urlaub!$S$20,
IF(LOWER(AW25)=LOWER(Urlaub!$W$21),Urlaub!$S$21,
IF(LOWER(AW25)=LOWER(Urlaub!$W$22),Urlaub!$S$22,
IF(LOWER(AW25)=LOWER(Urlaub!$W$23),Urlaub!$S$23,
IF(LOWER(AW25)=LOWER(Urlaub!$W$24),Urlaub!$S$24,""))))))&amp;IF(AND(EXACT(LOWER(AW25),AW25),AW25&lt;&gt;0)," 1/2",""))</f>
        <v/>
      </c>
      <c r="N25" s="53">
        <f t="shared" si="2"/>
        <v>0</v>
      </c>
      <c r="AU25" t="str">
        <f>IF(AV25=1,VLOOKUP($B25,Feiertage!$B$2:$D$49,3,FALSE),"")</f>
        <v/>
      </c>
      <c r="AV25">
        <f>IF(IFERROR(MATCH($B25,Feiertage!$B$2:$B$49,0)&gt;0,0),1,0)</f>
        <v>0</v>
      </c>
      <c r="AW25" s="22">
        <f>IFERROR(HLOOKUP(DAY(B25),Urlaub!$C$4:$AG$16,MONTH(B25)+1,FALSE),0)</f>
        <v>0</v>
      </c>
      <c r="AX25" s="38">
        <f t="shared" si="10"/>
        <v>0</v>
      </c>
      <c r="AY25" s="7">
        <f t="shared" si="4"/>
        <v>2.0833333333333301E-2</v>
      </c>
      <c r="AZ25" s="5">
        <f t="shared" si="5"/>
        <v>0</v>
      </c>
      <c r="BA25" s="39">
        <f t="shared" si="7"/>
        <v>0</v>
      </c>
      <c r="BB25" s="5">
        <f t="shared" si="6"/>
        <v>0.33333333333333331</v>
      </c>
    </row>
    <row r="26" spans="2:54" ht="18.75" x14ac:dyDescent="0.3">
      <c r="B26" s="43">
        <f t="shared" si="8"/>
        <v>41903</v>
      </c>
      <c r="C26" s="44">
        <f t="shared" si="9"/>
        <v>41903</v>
      </c>
      <c r="D26" s="3"/>
      <c r="E26" s="62"/>
      <c r="F26" s="62"/>
      <c r="G26" s="62"/>
      <c r="H26" s="62"/>
      <c r="I26" s="62" t="str">
        <f t="shared" ca="1" si="0"/>
        <v/>
      </c>
      <c r="J26" s="52">
        <f>IF(AND(Feiertage!$G$2&lt;&gt;"ja",AV26=1),IF(AZ26&gt;0,BB26+AZ26,BB26),IF(AZ26=0,0, IF(I26&lt;&gt;"",AZ26-I26,AZ26)))+AX26</f>
        <v>0</v>
      </c>
      <c r="K26" s="62">
        <f>IF(AV26=0,BB26,IF(Feiertage!$G$2="ja","00:00",BB26))</f>
        <v>0</v>
      </c>
      <c r="L26" s="52" t="str">
        <f t="shared" ca="1" si="11"/>
        <v/>
      </c>
      <c r="M26" s="50" t="str">
        <f>IF(AV26=1,AU26,IF(LOWER(AW26)=LOWER(Urlaub!$W$19),Urlaub!$S$19,
IF(LOWER(AW26)=LOWER(Urlaub!$W$20),Urlaub!$S$20,
IF(LOWER(AW26)=LOWER(Urlaub!$W$21),Urlaub!$S$21,
IF(LOWER(AW26)=LOWER(Urlaub!$W$22),Urlaub!$S$22,
IF(LOWER(AW26)=LOWER(Urlaub!$W$23),Urlaub!$S$23,
IF(LOWER(AW26)=LOWER(Urlaub!$W$24),Urlaub!$S$24,""))))))&amp;IF(AND(EXACT(LOWER(AW26),AW26),AW26&lt;&gt;0)," 1/2",""))</f>
        <v/>
      </c>
      <c r="N26" s="53">
        <f t="shared" si="2"/>
        <v>0</v>
      </c>
      <c r="AU26" t="str">
        <f>IF(AV26=1,VLOOKUP($B26,Feiertage!$B$2:$D$49,3,FALSE),"")</f>
        <v/>
      </c>
      <c r="AV26">
        <f>IF(IFERROR(MATCH($B26,Feiertage!$B$2:$B$49,0)&gt;0,0),1,0)</f>
        <v>0</v>
      </c>
      <c r="AW26" s="22">
        <f>IFERROR(HLOOKUP(DAY(B26),Urlaub!$C$4:$AG$16,MONTH(B26)+1,FALSE),0)</f>
        <v>0</v>
      </c>
      <c r="AX26" s="38">
        <f t="shared" si="10"/>
        <v>0</v>
      </c>
      <c r="AY26" s="7">
        <f t="shared" si="4"/>
        <v>2.0833333333333301E-2</v>
      </c>
      <c r="AZ26" s="5">
        <f t="shared" si="5"/>
        <v>0</v>
      </c>
      <c r="BA26" s="39">
        <f t="shared" si="7"/>
        <v>0</v>
      </c>
      <c r="BB26" s="5">
        <f t="shared" si="6"/>
        <v>0</v>
      </c>
    </row>
    <row r="27" spans="2:54" ht="18.75" x14ac:dyDescent="0.3">
      <c r="B27" s="43">
        <f t="shared" si="8"/>
        <v>41904</v>
      </c>
      <c r="C27" s="44">
        <f t="shared" si="9"/>
        <v>41904</v>
      </c>
      <c r="D27" s="3"/>
      <c r="E27" s="62"/>
      <c r="F27" s="62"/>
      <c r="G27" s="62"/>
      <c r="H27" s="62"/>
      <c r="I27" s="62" t="str">
        <f t="shared" ca="1" si="0"/>
        <v/>
      </c>
      <c r="J27" s="52">
        <f>IF(AND(Feiertage!$G$2&lt;&gt;"ja",AV27=1),IF(AZ27&gt;0,BB27+AZ27,BB27),IF(AZ27=0,0, IF(I27&lt;&gt;"",AZ27-I27,AZ27)))+AX27</f>
        <v>0</v>
      </c>
      <c r="K27" s="62">
        <f>IF(AV27=0,BB27,IF(Feiertage!$G$2="ja","00:00",BB27))</f>
        <v>0</v>
      </c>
      <c r="L27" s="52" t="str">
        <f t="shared" ca="1" si="11"/>
        <v/>
      </c>
      <c r="M27" s="50" t="str">
        <f>IF(AV27=1,AU27,IF(LOWER(AW27)=LOWER(Urlaub!$W$19),Urlaub!$S$19,
IF(LOWER(AW27)=LOWER(Urlaub!$W$20),Urlaub!$S$20,
IF(LOWER(AW27)=LOWER(Urlaub!$W$21),Urlaub!$S$21,
IF(LOWER(AW27)=LOWER(Urlaub!$W$22),Urlaub!$S$22,
IF(LOWER(AW27)=LOWER(Urlaub!$W$23),Urlaub!$S$23,
IF(LOWER(AW27)=LOWER(Urlaub!$W$24),Urlaub!$S$24,""))))))&amp;IF(AND(EXACT(LOWER(AW27),AW27),AW27&lt;&gt;0)," 1/2",""))</f>
        <v/>
      </c>
      <c r="N27" s="53">
        <f t="shared" si="2"/>
        <v>0</v>
      </c>
      <c r="AU27" t="str">
        <f>IF(AV27=1,VLOOKUP($B27,Feiertage!$B$2:$D$49,3,FALSE),"")</f>
        <v/>
      </c>
      <c r="AV27">
        <f>IF(IFERROR(MATCH($B27,Feiertage!$B$2:$B$49,0)&gt;0,0),1,0)</f>
        <v>0</v>
      </c>
      <c r="AW27" s="22">
        <f>IFERROR(HLOOKUP(DAY(B27),Urlaub!$C$4:$AG$16,MONTH(B27)+1,FALSE),0)</f>
        <v>0</v>
      </c>
      <c r="AX27" s="38">
        <f t="shared" si="10"/>
        <v>0</v>
      </c>
      <c r="AY27" s="7">
        <f t="shared" si="4"/>
        <v>2.0833333333333301E-2</v>
      </c>
      <c r="AZ27" s="5">
        <f t="shared" si="5"/>
        <v>0</v>
      </c>
      <c r="BA27" s="39">
        <f t="shared" si="7"/>
        <v>0</v>
      </c>
      <c r="BB27" s="5">
        <f t="shared" si="6"/>
        <v>0</v>
      </c>
    </row>
    <row r="28" spans="2:54" ht="18.75" x14ac:dyDescent="0.3">
      <c r="B28" s="43">
        <f t="shared" si="8"/>
        <v>41905</v>
      </c>
      <c r="C28" s="44">
        <f t="shared" si="9"/>
        <v>41905</v>
      </c>
      <c r="D28" s="3"/>
      <c r="E28" s="62"/>
      <c r="F28" s="62"/>
      <c r="G28" s="62"/>
      <c r="H28" s="62"/>
      <c r="I28" s="62" t="str">
        <f t="shared" ca="1" si="0"/>
        <v/>
      </c>
      <c r="J28" s="52">
        <f>IF(AND(Feiertage!$G$2&lt;&gt;"ja",AV28=1),IF(AZ28&gt;0,BB28+AZ28,BB28),IF(AZ28=0,0, IF(I28&lt;&gt;"",AZ28-I28,AZ28)))+AX28</f>
        <v>0</v>
      </c>
      <c r="K28" s="62">
        <f>IF(AV28=0,BB28,IF(Feiertage!$G$2="ja","00:00",BB28))</f>
        <v>0.33333333333333331</v>
      </c>
      <c r="L28" s="52" t="str">
        <f t="shared" ca="1" si="11"/>
        <v/>
      </c>
      <c r="M28" s="50" t="str">
        <f>IF(AV28=1,AU28,IF(LOWER(AW28)=LOWER(Urlaub!$W$19),Urlaub!$S$19,
IF(LOWER(AW28)=LOWER(Urlaub!$W$20),Urlaub!$S$20,
IF(LOWER(AW28)=LOWER(Urlaub!$W$21),Urlaub!$S$21,
IF(LOWER(AW28)=LOWER(Urlaub!$W$22),Urlaub!$S$22,
IF(LOWER(AW28)=LOWER(Urlaub!$W$23),Urlaub!$S$23,
IF(LOWER(AW28)=LOWER(Urlaub!$W$24),Urlaub!$S$24,""))))))&amp;IF(AND(EXACT(LOWER(AW28),AW28),AW28&lt;&gt;0)," 1/2",""))</f>
        <v/>
      </c>
      <c r="N28" s="53">
        <f t="shared" si="2"/>
        <v>0</v>
      </c>
      <c r="AU28" t="str">
        <f>IF(AV28=1,VLOOKUP($B28,Feiertage!$B$2:$D$49,3,FALSE),"")</f>
        <v/>
      </c>
      <c r="AV28">
        <f>IF(IFERROR(MATCH($B28,Feiertage!$B$2:$B$49,0)&gt;0,0),1,0)</f>
        <v>0</v>
      </c>
      <c r="AW28" s="22">
        <f>IFERROR(HLOOKUP(DAY(B28),Urlaub!$C$4:$AG$16,MONTH(B28)+1,FALSE),0)</f>
        <v>0</v>
      </c>
      <c r="AX28" s="38">
        <f t="shared" si="10"/>
        <v>0</v>
      </c>
      <c r="AY28" s="7">
        <f t="shared" si="4"/>
        <v>2.0833333333333332E-2</v>
      </c>
      <c r="AZ28" s="5">
        <f t="shared" si="5"/>
        <v>0</v>
      </c>
      <c r="BA28" s="39">
        <f t="shared" si="7"/>
        <v>0</v>
      </c>
      <c r="BB28" s="5">
        <f t="shared" si="6"/>
        <v>0.33333333333333331</v>
      </c>
    </row>
    <row r="29" spans="2:54" ht="18.75" x14ac:dyDescent="0.3">
      <c r="B29" s="43">
        <f t="shared" si="8"/>
        <v>41906</v>
      </c>
      <c r="C29" s="44">
        <f t="shared" si="9"/>
        <v>41906</v>
      </c>
      <c r="D29" s="3"/>
      <c r="E29" s="62"/>
      <c r="F29" s="62"/>
      <c r="G29" s="62"/>
      <c r="H29" s="62"/>
      <c r="I29" s="62" t="str">
        <f t="shared" ca="1" si="0"/>
        <v/>
      </c>
      <c r="J29" s="52">
        <f>IF(AND(Feiertage!$G$2&lt;&gt;"ja",AV29=1),IF(AZ29&gt;0,BB29+AZ29,BB29),IF(AZ29=0,0, IF(I29&lt;&gt;"",AZ29-I29,AZ29)))+AX29</f>
        <v>0</v>
      </c>
      <c r="K29" s="62">
        <f>IF(AV29=0,BB29,IF(Feiertage!$G$2="ja","00:00",BB29))</f>
        <v>0.33333333333333331</v>
      </c>
      <c r="L29" s="52" t="str">
        <f t="shared" ca="1" si="11"/>
        <v/>
      </c>
      <c r="M29" s="50" t="str">
        <f>IF(AV29=1,AU29,IF(LOWER(AW29)=LOWER(Urlaub!$W$19),Urlaub!$S$19,
IF(LOWER(AW29)=LOWER(Urlaub!$W$20),Urlaub!$S$20,
IF(LOWER(AW29)=LOWER(Urlaub!$W$21),Urlaub!$S$21,
IF(LOWER(AW29)=LOWER(Urlaub!$W$22),Urlaub!$S$22,
IF(LOWER(AW29)=LOWER(Urlaub!$W$23),Urlaub!$S$23,
IF(LOWER(AW29)=LOWER(Urlaub!$W$24),Urlaub!$S$24,""))))))&amp;IF(AND(EXACT(LOWER(AW29),AW29),AW29&lt;&gt;0)," 1/2",""))</f>
        <v/>
      </c>
      <c r="N29" s="53">
        <f t="shared" si="2"/>
        <v>0</v>
      </c>
      <c r="AU29" t="str">
        <f>IF(AV29=1,VLOOKUP($B29,Feiertage!$B$2:$D$49,3,FALSE),"")</f>
        <v/>
      </c>
      <c r="AV29">
        <f>IF(IFERROR(MATCH($B29,Feiertage!$B$2:$B$49,0)&gt;0,0),1,0)</f>
        <v>0</v>
      </c>
      <c r="AW29" s="22">
        <f>IFERROR(HLOOKUP(DAY(B29),Urlaub!$C$4:$AG$16,MONTH(B29)+1,FALSE),0)</f>
        <v>0</v>
      </c>
      <c r="AX29" s="38">
        <f t="shared" si="10"/>
        <v>0</v>
      </c>
      <c r="AY29" s="7">
        <f t="shared" si="4"/>
        <v>2.0833333333333332E-2</v>
      </c>
      <c r="AZ29" s="5">
        <f t="shared" si="5"/>
        <v>0</v>
      </c>
      <c r="BA29" s="39">
        <f t="shared" si="7"/>
        <v>0</v>
      </c>
      <c r="BB29" s="5">
        <f t="shared" si="6"/>
        <v>0.33333333333333331</v>
      </c>
    </row>
    <row r="30" spans="2:54" ht="18.75" x14ac:dyDescent="0.3">
      <c r="B30" s="43">
        <f t="shared" si="8"/>
        <v>41907</v>
      </c>
      <c r="C30" s="44">
        <f t="shared" si="9"/>
        <v>41907</v>
      </c>
      <c r="D30" s="3"/>
      <c r="E30" s="62"/>
      <c r="F30" s="62"/>
      <c r="G30" s="62"/>
      <c r="H30" s="62"/>
      <c r="I30" s="62" t="str">
        <f t="shared" ca="1" si="0"/>
        <v/>
      </c>
      <c r="J30" s="52">
        <f>IF(AND(Feiertage!$G$2&lt;&gt;"ja",AV30=1),IF(AZ30&gt;0,BB30+AZ30,BB30),IF(AZ30=0,0, IF(I30&lt;&gt;"",AZ30-I30,AZ30)))+AX30</f>
        <v>0</v>
      </c>
      <c r="K30" s="62">
        <f>IF(AV30=0,BB30,IF(Feiertage!$G$2="ja","00:00",BB30))</f>
        <v>0.33333333333333331</v>
      </c>
      <c r="L30" s="52" t="str">
        <f t="shared" ca="1" si="11"/>
        <v/>
      </c>
      <c r="M30" s="50" t="str">
        <f>IF(AV30=1,AU30,IF(LOWER(AW30)=LOWER(Urlaub!$W$19),Urlaub!$S$19,
IF(LOWER(AW30)=LOWER(Urlaub!$W$20),Urlaub!$S$20,
IF(LOWER(AW30)=LOWER(Urlaub!$W$21),Urlaub!$S$21,
IF(LOWER(AW30)=LOWER(Urlaub!$W$22),Urlaub!$S$22,
IF(LOWER(AW30)=LOWER(Urlaub!$W$23),Urlaub!$S$23,
IF(LOWER(AW30)=LOWER(Urlaub!$W$24),Urlaub!$S$24,""))))))&amp;IF(AND(EXACT(LOWER(AW30),AW30),AW30&lt;&gt;0)," 1/2",""))</f>
        <v/>
      </c>
      <c r="N30" s="53">
        <f t="shared" si="2"/>
        <v>0</v>
      </c>
      <c r="AU30" t="str">
        <f>IF(AV30=1,VLOOKUP($B30,Feiertage!$B$2:$D$49,3,FALSE),"")</f>
        <v/>
      </c>
      <c r="AV30">
        <f>IF(IFERROR(MATCH($B30,Feiertage!$B$2:$B$49,0)&gt;0,0),1,0)</f>
        <v>0</v>
      </c>
      <c r="AW30" s="22">
        <f>IFERROR(HLOOKUP(DAY(B30),Urlaub!$C$4:$AG$16,MONTH(B30)+1,FALSE),0)</f>
        <v>0</v>
      </c>
      <c r="AX30" s="38">
        <f t="shared" si="10"/>
        <v>0</v>
      </c>
      <c r="AY30" s="7">
        <f t="shared" si="4"/>
        <v>2.0833333333333301E-2</v>
      </c>
      <c r="AZ30" s="5">
        <f t="shared" si="5"/>
        <v>0</v>
      </c>
      <c r="BA30" s="39">
        <f t="shared" si="7"/>
        <v>0</v>
      </c>
      <c r="BB30" s="5">
        <f t="shared" si="6"/>
        <v>0.33333333333333331</v>
      </c>
    </row>
    <row r="31" spans="2:54" ht="18.75" x14ac:dyDescent="0.3">
      <c r="B31" s="43">
        <f t="shared" si="8"/>
        <v>41908</v>
      </c>
      <c r="C31" s="44">
        <f t="shared" si="9"/>
        <v>41908</v>
      </c>
      <c r="D31" s="3"/>
      <c r="E31" s="62"/>
      <c r="F31" s="62"/>
      <c r="G31" s="62"/>
      <c r="H31" s="62"/>
      <c r="I31" s="62" t="str">
        <f t="shared" ca="1" si="0"/>
        <v/>
      </c>
      <c r="J31" s="52">
        <f>IF(AND(Feiertage!$G$2&lt;&gt;"ja",AV31=1),IF(AZ31&gt;0,BB31+AZ31,BB31),IF(AZ31=0,0, IF(I31&lt;&gt;"",AZ31-I31,AZ31)))+AX31</f>
        <v>0</v>
      </c>
      <c r="K31" s="62">
        <f>IF(AV31=0,BB31,IF(Feiertage!$G$2="ja","00:00",BB31))</f>
        <v>0.33333333333333331</v>
      </c>
      <c r="L31" s="52" t="str">
        <f t="shared" ca="1" si="11"/>
        <v/>
      </c>
      <c r="M31" s="50" t="str">
        <f>IF(AV31=1,AU31,IF(LOWER(AW31)=LOWER(Urlaub!$W$19),Urlaub!$S$19,
IF(LOWER(AW31)=LOWER(Urlaub!$W$20),Urlaub!$S$20,
IF(LOWER(AW31)=LOWER(Urlaub!$W$21),Urlaub!$S$21,
IF(LOWER(AW31)=LOWER(Urlaub!$W$22),Urlaub!$S$22,
IF(LOWER(AW31)=LOWER(Urlaub!$W$23),Urlaub!$S$23,
IF(LOWER(AW31)=LOWER(Urlaub!$W$24),Urlaub!$S$24,""))))))&amp;IF(AND(EXACT(LOWER(AW31),AW31),AW31&lt;&gt;0)," 1/2",""))</f>
        <v/>
      </c>
      <c r="N31" s="53">
        <f t="shared" si="2"/>
        <v>0</v>
      </c>
      <c r="AU31" t="str">
        <f>IF(AV31=1,VLOOKUP($B31,Feiertage!$B$2:$D$49,3,FALSE),"")</f>
        <v/>
      </c>
      <c r="AV31">
        <f>IF(IFERROR(MATCH($B31,Feiertage!$B$2:$B$49,0)&gt;0,0),1,0)</f>
        <v>0</v>
      </c>
      <c r="AW31" s="22">
        <f>IFERROR(HLOOKUP(DAY(B31),Urlaub!$C$4:$AG$16,MONTH(B31)+1,FALSE),0)</f>
        <v>0</v>
      </c>
      <c r="AX31" s="38">
        <f t="shared" si="10"/>
        <v>0</v>
      </c>
      <c r="AY31" s="7">
        <f t="shared" si="4"/>
        <v>2.0833333333333301E-2</v>
      </c>
      <c r="AZ31" s="5">
        <f t="shared" si="5"/>
        <v>0</v>
      </c>
      <c r="BA31" s="39">
        <f t="shared" si="7"/>
        <v>0</v>
      </c>
      <c r="BB31" s="5">
        <f t="shared" si="6"/>
        <v>0.33333333333333331</v>
      </c>
    </row>
    <row r="32" spans="2:54" ht="18.75" x14ac:dyDescent="0.3">
      <c r="B32" s="43">
        <f t="shared" si="8"/>
        <v>41909</v>
      </c>
      <c r="C32" s="44">
        <f t="shared" si="9"/>
        <v>41909</v>
      </c>
      <c r="D32" s="3"/>
      <c r="E32" s="62"/>
      <c r="F32" s="62"/>
      <c r="G32" s="62"/>
      <c r="H32" s="62"/>
      <c r="I32" s="62" t="str">
        <f t="shared" ca="1" si="0"/>
        <v/>
      </c>
      <c r="J32" s="52">
        <f>IF(AND(Feiertage!$G$2&lt;&gt;"ja",AV32=1),IF(AZ32&gt;0,BB32+AZ32,BB32),IF(AZ32=0,0, IF(I32&lt;&gt;"",AZ32-I32,AZ32)))+AX32</f>
        <v>0</v>
      </c>
      <c r="K32" s="62">
        <f>IF(AV32=0,BB32,IF(Feiertage!$G$2="ja","00:00",BB32))</f>
        <v>0.33333333333333331</v>
      </c>
      <c r="L32" s="52" t="str">
        <f t="shared" ca="1" si="11"/>
        <v/>
      </c>
      <c r="M32" s="50" t="str">
        <f>IF(AV32=1,AU32,IF(LOWER(AW32)=LOWER(Urlaub!$W$19),Urlaub!$S$19,
IF(LOWER(AW32)=LOWER(Urlaub!$W$20),Urlaub!$S$20,
IF(LOWER(AW32)=LOWER(Urlaub!$W$21),Urlaub!$S$21,
IF(LOWER(AW32)=LOWER(Urlaub!$W$22),Urlaub!$S$22,
IF(LOWER(AW32)=LOWER(Urlaub!$W$23),Urlaub!$S$23,
IF(LOWER(AW32)=LOWER(Urlaub!$W$24),Urlaub!$S$24,""))))))&amp;IF(AND(EXACT(LOWER(AW32),AW32),AW32&lt;&gt;0)," 1/2",""))</f>
        <v/>
      </c>
      <c r="N32" s="53">
        <f t="shared" si="2"/>
        <v>0</v>
      </c>
      <c r="AU32" t="str">
        <f>IF(AV32=1,VLOOKUP($B32,Feiertage!$B$2:$D$49,3,FALSE),"")</f>
        <v/>
      </c>
      <c r="AV32">
        <f>IF(IFERROR(MATCH($B32,Feiertage!$B$2:$B$49,0)&gt;0,0),1,0)</f>
        <v>0</v>
      </c>
      <c r="AW32" s="22">
        <f>IFERROR(HLOOKUP(DAY(B32),Urlaub!$C$4:$AG$16,MONTH(B32)+1,FALSE),0)</f>
        <v>0</v>
      </c>
      <c r="AX32" s="38">
        <f t="shared" si="10"/>
        <v>0</v>
      </c>
      <c r="AY32" s="7">
        <f t="shared" si="4"/>
        <v>2.0833333333333301E-2</v>
      </c>
      <c r="AZ32" s="5">
        <f t="shared" si="5"/>
        <v>0</v>
      </c>
      <c r="BA32" s="39">
        <f t="shared" si="7"/>
        <v>0</v>
      </c>
      <c r="BB32" s="5">
        <f t="shared" si="6"/>
        <v>0.33333333333333331</v>
      </c>
    </row>
    <row r="33" spans="2:54" ht="18.75" x14ac:dyDescent="0.3">
      <c r="B33" s="43">
        <f>IF(B32&lt;&gt;"",IF(MONTH($B$1)&lt;MONTH(B32+1),"",B32+1),"")</f>
        <v>41910</v>
      </c>
      <c r="C33" s="44">
        <f t="shared" si="9"/>
        <v>41910</v>
      </c>
      <c r="D33" s="3"/>
      <c r="E33" s="62"/>
      <c r="F33" s="62"/>
      <c r="G33" s="62"/>
      <c r="H33" s="62"/>
      <c r="I33" s="62" t="str">
        <f t="shared" ca="1" si="0"/>
        <v/>
      </c>
      <c r="J33" s="52">
        <f>IF(B33&lt;&gt;"",IF(AND(Feiertage!$G$2&lt;&gt;"ja",AV33=1),IF(AZ33&gt;0,BB33+AZ33,BB33),IF(AZ33=0,0, IF(I33&lt;&gt;"",AZ33-I33,AZ33)))+AX33,"")</f>
        <v>0</v>
      </c>
      <c r="K33" s="62">
        <f>IF(B33&lt;&gt;"",IF(AV33=0,BB33,IF(Feiertage!$G$2="ja","00:00",BB33)),"")</f>
        <v>0</v>
      </c>
      <c r="L33" s="52" t="str">
        <f t="shared" ca="1" si="11"/>
        <v/>
      </c>
      <c r="M33" s="50" t="str">
        <f>IF(AV33=1,AU33,IF(LOWER(AW33)=LOWER(Urlaub!$W$19),Urlaub!$S$19,
IF(LOWER(AW33)=LOWER(Urlaub!$W$20),Urlaub!$S$20,
IF(LOWER(AW33)=LOWER(Urlaub!$W$21),Urlaub!$S$21,
IF(LOWER(AW33)=LOWER(Urlaub!$W$22),Urlaub!$S$22,
IF(LOWER(AW33)=LOWER(Urlaub!$W$23),Urlaub!$S$23,
IF(LOWER(AW33)=LOWER(Urlaub!$W$24),Urlaub!$S$24,""))))))&amp;IF(AND(EXACT(LOWER(AW33),AW33),AW33&lt;&gt;0)," 1/2",""))</f>
        <v/>
      </c>
      <c r="N33" s="53">
        <f>IF(J33&lt;&gt;"",24*J33*IF(WEEKDAY(C33)=WEEKDAY($P$6),$S$6,
IF(WEEKDAY(C33)=WEEKDAY($P$7),$S$7,
IF(WEEKDAY(C33)=WEEKDAY($P$8),$S$8,
IF(WEEKDAY(C33)=WEEKDAY($P$9),$S$9,
IF(WEEKDAY(C33)=WEEKDAY($P$10),$S$10,
IF(WEEKDAY(C33)=WEEKDAY($P$11),$S$11,
IF(WEEKDAY(C33)=WEEKDAY($P$12),$S$12,""))))))),"")</f>
        <v>0</v>
      </c>
      <c r="AU33" t="str">
        <f>IF(AV33=1,VLOOKUP($B33,Feiertage!$B$2:$D$49,3,FALSE),"")</f>
        <v/>
      </c>
      <c r="AV33">
        <f>IF(IFERROR(MATCH($B33,Feiertage!$B$2:$B$49,0)&gt;0,0),1,0)</f>
        <v>0</v>
      </c>
      <c r="AW33" s="22">
        <f>IFERROR(HLOOKUP(DAY(B33),Urlaub!$C$4:$AG$16,MONTH(B33)+1,FALSE),0)</f>
        <v>0</v>
      </c>
      <c r="AX33" s="38">
        <f t="shared" si="10"/>
        <v>0</v>
      </c>
      <c r="AY33" s="7">
        <f t="shared" si="4"/>
        <v>2.0833333333333301E-2</v>
      </c>
      <c r="AZ33" s="5">
        <f t="shared" si="5"/>
        <v>0</v>
      </c>
      <c r="BA33" s="39">
        <f t="shared" si="7"/>
        <v>0</v>
      </c>
      <c r="BB33" s="5">
        <f t="shared" si="6"/>
        <v>0</v>
      </c>
    </row>
    <row r="34" spans="2:54" ht="18.75" x14ac:dyDescent="0.3">
      <c r="B34" s="43">
        <f t="shared" ref="B34:B35" si="12">IF(B33&lt;&gt;"",IF(MONTH($B$1)&lt;MONTH(B33+1),"",B33+1),"")</f>
        <v>41911</v>
      </c>
      <c r="C34" s="44">
        <f t="shared" si="9"/>
        <v>41911</v>
      </c>
      <c r="D34" s="3"/>
      <c r="E34" s="62"/>
      <c r="F34" s="62"/>
      <c r="G34" s="62"/>
      <c r="H34" s="62"/>
      <c r="I34" s="62" t="str">
        <f t="shared" ca="1" si="0"/>
        <v/>
      </c>
      <c r="J34" s="52">
        <f>IF(B34&lt;&gt;"",IF(AND(Feiertage!$G$2&lt;&gt;"ja",AV34=1),IF(AZ34&gt;0,BB34+AZ34,BB34),IF(AZ34=0,0, IF(I34&lt;&gt;"",AZ34-I34,AZ34)))+AX34,"")</f>
        <v>0</v>
      </c>
      <c r="K34" s="62">
        <f>IF(B34&lt;&gt;"",IF(AV34=0,BB34,IF(Feiertage!$G$2="ja","00:00",BB34)),"")</f>
        <v>0</v>
      </c>
      <c r="L34" s="52" t="str">
        <f t="shared" ca="1" si="11"/>
        <v/>
      </c>
      <c r="M34" s="50" t="str">
        <f>IF(AV34=1,AU34,IF(LOWER(AW34)=LOWER(Urlaub!$W$19),Urlaub!$S$19,
IF(LOWER(AW34)=LOWER(Urlaub!$W$20),Urlaub!$S$20,
IF(LOWER(AW34)=LOWER(Urlaub!$W$21),Urlaub!$S$21,
IF(LOWER(AW34)=LOWER(Urlaub!$W$22),Urlaub!$S$22,
IF(LOWER(AW34)=LOWER(Urlaub!$W$23),Urlaub!$S$23,
IF(LOWER(AW34)=LOWER(Urlaub!$W$24),Urlaub!$S$24,""))))))&amp;IF(AND(EXACT(LOWER(AW34),AW34),AW34&lt;&gt;0)," 1/2",""))</f>
        <v/>
      </c>
      <c r="N34" s="53">
        <f>IF(J34&lt;&gt;"",24*J34*IF(WEEKDAY(C34)=WEEKDAY($P$6),$S$6,
IF(WEEKDAY(C34)=WEEKDAY($P$7),$S$7,
IF(WEEKDAY(C34)=WEEKDAY($P$8),$S$8,
IF(WEEKDAY(C34)=WEEKDAY($P$9),$S$9,
IF(WEEKDAY(C34)=WEEKDAY($P$10),$S$10,
IF(WEEKDAY(C34)=WEEKDAY($P$11),$S$11,
IF(WEEKDAY(C34)=WEEKDAY($P$12),$S$12,""))))))),"")</f>
        <v>0</v>
      </c>
      <c r="AU34" t="str">
        <f>IF(AV34=1,VLOOKUP($B34,Feiertage!$B$2:$D$49,3,FALSE),"")</f>
        <v/>
      </c>
      <c r="AV34">
        <f>IF(IFERROR(MATCH($B34,Feiertage!$B$2:$B$49,0)&gt;0,0),1,0)</f>
        <v>0</v>
      </c>
      <c r="AW34" s="22">
        <f>IFERROR(HLOOKUP(DAY(B34),Urlaub!$C$4:$AG$16,MONTH(B34)+1,FALSE),0)</f>
        <v>0</v>
      </c>
      <c r="AX34" s="38">
        <f t="shared" si="10"/>
        <v>0</v>
      </c>
      <c r="AY34" s="7">
        <f t="shared" si="4"/>
        <v>2.0833333333333301E-2</v>
      </c>
      <c r="AZ34" s="5">
        <f t="shared" si="5"/>
        <v>0</v>
      </c>
      <c r="BA34" s="39">
        <f t="shared" si="7"/>
        <v>0</v>
      </c>
      <c r="BB34" s="5">
        <f t="shared" si="6"/>
        <v>0</v>
      </c>
    </row>
    <row r="35" spans="2:54" ht="19.5" thickBot="1" x14ac:dyDescent="0.35">
      <c r="B35" s="70" t="str">
        <f t="shared" si="12"/>
        <v/>
      </c>
      <c r="C35" s="71" t="str">
        <f t="shared" si="9"/>
        <v/>
      </c>
      <c r="D35" s="72"/>
      <c r="E35" s="73"/>
      <c r="F35" s="73"/>
      <c r="G35" s="73"/>
      <c r="H35" s="74"/>
      <c r="I35" s="74" t="str">
        <f t="shared" ca="1" si="0"/>
        <v/>
      </c>
      <c r="J35" s="76" t="str">
        <f>IF(B35&lt;&gt;"",IF(AND(Feiertage!$G$2&lt;&gt;"ja",AV35=1),IF(AZ35&gt;0,BB35+AZ35,BB35),IF(AZ35=0,0, IF(I35&lt;&gt;"",AZ35-I35,AZ35)))+AX35,"")</f>
        <v/>
      </c>
      <c r="K35" s="73" t="str">
        <f>IF(B35&lt;&gt;"",IF(AV35=0,BB35,IF(Feiertage!$G$2="ja","00:00",BB35)),"")</f>
        <v/>
      </c>
      <c r="L35" s="52" t="str">
        <f t="shared" ca="1" si="11"/>
        <v/>
      </c>
      <c r="M35" s="50" t="str">
        <f>IF(AV35=1,AU35,IF(LOWER(AW35)=LOWER(Urlaub!$W$19),Urlaub!$S$19,
IF(LOWER(AW35)=LOWER(Urlaub!$W$20),Urlaub!$S$20,
IF(LOWER(AW35)=LOWER(Urlaub!$W$21),Urlaub!$S$21,
IF(LOWER(AW35)=LOWER(Urlaub!$W$22),Urlaub!$S$22,
IF(LOWER(AW35)=LOWER(Urlaub!$W$23),Urlaub!$S$23,
IF(LOWER(AW35)=LOWER(Urlaub!$W$24),Urlaub!$S$24,""))))))&amp;IF(AND(EXACT(LOWER(AW35),AW35),AW35&lt;&gt;0)," 1/2",""))</f>
        <v/>
      </c>
      <c r="N35" s="77" t="str">
        <f>IF(J35&lt;&gt;"",24*J35*IF(WEEKDAY(C35)=WEEKDAY($P$6),$S$6,
IF(WEEKDAY(C35)=WEEKDAY($P$7),$S$7,
IF(WEEKDAY(C35)=WEEKDAY($P$8),$S$8,
IF(WEEKDAY(C35)=WEEKDAY($P$9),$S$9,
IF(WEEKDAY(C35)=WEEKDAY($P$10),$S$10,
IF(WEEKDAY(C35)=WEEKDAY($P$11),$S$11,
IF(WEEKDAY(C35)=WEEKDAY($P$12),$S$12,""))))))),"")</f>
        <v/>
      </c>
      <c r="AU35" t="str">
        <f>IF(AV35=1,VLOOKUP($B35,Feiertage!$B$2:$D$49,3,FALSE),"")</f>
        <v/>
      </c>
      <c r="AV35">
        <f>IF(IFERROR(MATCH($B35,Feiertage!$B$2:$B$49,0)&gt;0,0),1,0)</f>
        <v>0</v>
      </c>
      <c r="AW35" s="22">
        <f>IFERROR(HLOOKUP(DAY(B35),Urlaub!$C$4:$AG$16,MONTH(B35)+1,FALSE),0)</f>
        <v>0</v>
      </c>
      <c r="AX35" s="38">
        <f t="shared" si="10"/>
        <v>0</v>
      </c>
      <c r="AY35" s="7" t="str">
        <f t="shared" si="4"/>
        <v/>
      </c>
      <c r="AZ35" s="5">
        <f t="shared" si="5"/>
        <v>0</v>
      </c>
      <c r="BA35" s="39">
        <f t="shared" si="7"/>
        <v>0</v>
      </c>
      <c r="BB35" s="5" t="str">
        <f t="shared" si="6"/>
        <v/>
      </c>
    </row>
    <row r="36" spans="2:54" ht="5.25" customHeight="1" thickTop="1" thickBot="1" x14ac:dyDescent="0.3">
      <c r="B36" s="1"/>
      <c r="H36" s="75"/>
      <c r="I36" s="75"/>
      <c r="J36" s="75"/>
      <c r="K36" s="2"/>
      <c r="L36" s="75"/>
    </row>
    <row r="37" spans="2:54" ht="24" thickBot="1" x14ac:dyDescent="0.4">
      <c r="B37" s="139" t="s">
        <v>74</v>
      </c>
      <c r="C37" s="140"/>
      <c r="D37" s="140"/>
      <c r="E37" s="140"/>
      <c r="F37" s="140"/>
      <c r="G37" s="140"/>
      <c r="H37" s="140"/>
      <c r="I37" s="141"/>
      <c r="J37" s="47">
        <f>SUM(J5:J35)</f>
        <v>0</v>
      </c>
      <c r="K37" s="47">
        <f t="shared" ref="K37" si="13">SUM(K5:K35)</f>
        <v>6.6666666666666643</v>
      </c>
      <c r="L37" s="47">
        <f ca="1">SUM(L5:L35)</f>
        <v>0</v>
      </c>
      <c r="M37" s="47">
        <f>SUM(AX5:AX35)</f>
        <v>0</v>
      </c>
      <c r="N37" s="48">
        <f t="shared" ref="N37" si="14">SUM(N5:N35)</f>
        <v>0</v>
      </c>
    </row>
    <row r="38" spans="2:54" x14ac:dyDescent="0.25">
      <c r="B38" s="1"/>
    </row>
    <row r="39" spans="2:54" x14ac:dyDescent="0.25">
      <c r="B39" s="1"/>
    </row>
  </sheetData>
  <sheetProtection algorithmName="SHA-512" hashValue="YB2mTVhVnX/YkfAPtRaKvOlqC/4aFKuO/80+ddHnD1MsZyiKwl6CM13/hazkSF+uTzaRnIkp4uUXtTECfIAhqw==" saltValue="lz7BteHzVZvhopxrF84etQ==" spinCount="100000" sheet="1" selectLockedCells="1"/>
  <customSheetViews>
    <customSheetView guid="{4652D98A-10A8-4A41-BE02-6BC110D8BB01}" showGridLines="0">
      <pane xSplit="4" ySplit="4" topLeftCell="E14" activePane="bottomRight" state="frozen"/>
      <selection pane="bottomRight" activeCell="E40" sqref="E40"/>
      <pageMargins left="0.7" right="0.7" top="0.78740157499999996" bottom="0.78740157499999996" header="0.3" footer="0.3"/>
    </customSheetView>
  </customSheetViews>
  <mergeCells count="7">
    <mergeCell ref="B37:I37"/>
    <mergeCell ref="E3:H3"/>
    <mergeCell ref="B1:N1"/>
    <mergeCell ref="U4:V4"/>
    <mergeCell ref="P4:S4"/>
    <mergeCell ref="P15:V15"/>
    <mergeCell ref="P16:V18"/>
  </mergeCells>
  <conditionalFormatting sqref="B5:N35">
    <cfRule type="expression" dxfId="23" priority="2" stopIfTrue="1">
      <formula>WEEKDAY($B5,2)&gt;5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2A47DDC4-97B2-4019-80D5-B89C78E74370}">
            <xm:f>MATCH($B5,Feiertage!$B$2:$B$49,0)&gt;0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B5:N35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</vt:i4>
      </vt:variant>
    </vt:vector>
  </HeadingPairs>
  <TitlesOfParts>
    <vt:vector size="16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Urlaub</vt:lpstr>
      <vt:lpstr>Feiertage</vt:lpstr>
      <vt:lpstr>Jahresübersicht</vt:lpstr>
      <vt:lpstr>Januar!Druckbereich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memic</cp:lastModifiedBy>
  <cp:lastPrinted>2017-12-12T23:29:49Z</cp:lastPrinted>
  <dcterms:created xsi:type="dcterms:W3CDTF">2017-09-20T18:53:26Z</dcterms:created>
  <dcterms:modified xsi:type="dcterms:W3CDTF">2018-08-09T18:37:31Z</dcterms:modified>
</cp:coreProperties>
</file>